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105" windowWidth="15600" windowHeight="9915" activeTab="5"/>
  </bookViews>
  <sheets>
    <sheet name="1" sheetId="4" r:id="rId1"/>
    <sheet name="2" sheetId="6" r:id="rId2"/>
    <sheet name="3" sheetId="5" r:id="rId3"/>
    <sheet name="4" sheetId="1" r:id="rId4"/>
    <sheet name="5" sheetId="7" r:id="rId5"/>
    <sheet name="6" sheetId="8" r:id="rId6"/>
  </sheets>
  <definedNames>
    <definedName name="_xlnm.Print_Area" localSheetId="0">'1'!$A$1:$M$31</definedName>
    <definedName name="_xlnm.Print_Area" localSheetId="1">'2'!$A$1:$G$33</definedName>
    <definedName name="_xlnm.Print_Area" localSheetId="2">'3'!$A$1:$G$31</definedName>
    <definedName name="_xlnm.Print_Area" localSheetId="3">'4'!$A$1:$G$33</definedName>
    <definedName name="_xlnm.Print_Area" localSheetId="4">'5'!$A$1:$D$33</definedName>
    <definedName name="_xlnm.Print_Area" localSheetId="5">'6'!$A$1:$E$33</definedName>
  </definedNames>
  <calcPr calcId="144525"/>
</workbook>
</file>

<file path=xl/calcChain.xml><?xml version="1.0" encoding="utf-8"?>
<calcChain xmlns="http://schemas.openxmlformats.org/spreadsheetml/2006/main">
  <c r="M16" i="6" l="1"/>
  <c r="D11" i="8"/>
  <c r="D9" i="8"/>
  <c r="M23" i="6" l="1"/>
  <c r="M24" i="6"/>
  <c r="O18" i="6"/>
  <c r="O23" i="6"/>
  <c r="O24" i="6"/>
  <c r="E20" i="6"/>
  <c r="E25" i="6"/>
  <c r="E26" i="6"/>
  <c r="D5" i="8"/>
  <c r="C25" i="5"/>
  <c r="C20" i="5"/>
  <c r="C19" i="5"/>
  <c r="C18" i="5"/>
  <c r="C17" i="5"/>
  <c r="C16" i="5"/>
  <c r="C15" i="5"/>
  <c r="C14" i="5"/>
  <c r="C13" i="5"/>
  <c r="C12" i="5"/>
  <c r="C11" i="5"/>
  <c r="C10" i="5"/>
  <c r="C9" i="5"/>
  <c r="C8" i="5"/>
  <c r="C6" i="5"/>
  <c r="C5" i="5"/>
  <c r="C25" i="6"/>
  <c r="C20" i="6"/>
  <c r="C26" i="6" s="1"/>
  <c r="C19" i="6"/>
  <c r="C18" i="6"/>
  <c r="C17" i="6"/>
  <c r="C16" i="6"/>
  <c r="C15" i="6"/>
  <c r="C14" i="6"/>
  <c r="C13" i="6"/>
  <c r="C12" i="6"/>
  <c r="C11" i="6"/>
  <c r="C10" i="6"/>
  <c r="C9" i="6"/>
  <c r="C8" i="6"/>
  <c r="C6" i="6"/>
  <c r="C5" i="6"/>
  <c r="F25" i="6" l="1"/>
  <c r="F26" i="6"/>
  <c r="C26" i="5"/>
  <c r="E24" i="6"/>
  <c r="E23" i="6"/>
  <c r="E22" i="6"/>
  <c r="E19" i="6"/>
  <c r="E18" i="6"/>
  <c r="E17" i="6"/>
  <c r="E16" i="6"/>
  <c r="E15" i="6"/>
  <c r="E14" i="6"/>
  <c r="E13" i="6"/>
  <c r="E12" i="6"/>
  <c r="E11" i="6"/>
  <c r="E10" i="6"/>
  <c r="E9" i="6"/>
  <c r="E8" i="6"/>
  <c r="E6" i="6"/>
  <c r="E5" i="6"/>
  <c r="M21" i="6"/>
  <c r="M14" i="6"/>
  <c r="M13" i="6"/>
  <c r="M12" i="6"/>
  <c r="K16" i="6"/>
  <c r="F25" i="5" l="1"/>
  <c r="K23" i="6"/>
  <c r="K11" i="6"/>
  <c r="E18" i="5"/>
  <c r="F18" i="5" s="1"/>
  <c r="G18" i="5" s="1"/>
  <c r="E23" i="5"/>
  <c r="F23" i="5" s="1"/>
  <c r="G23" i="5" s="1"/>
  <c r="E24" i="5"/>
  <c r="F24" i="5" s="1"/>
  <c r="G24" i="5" s="1"/>
  <c r="E25" i="5"/>
  <c r="E26" i="5"/>
  <c r="F26" i="5" s="1"/>
  <c r="G26" i="5" s="1"/>
  <c r="E22" i="5"/>
  <c r="F22" i="5" s="1"/>
  <c r="E9" i="5"/>
  <c r="F9" i="5" s="1"/>
  <c r="G9" i="5" s="1"/>
  <c r="E10" i="5"/>
  <c r="F10" i="5" s="1"/>
  <c r="G10" i="5" s="1"/>
  <c r="E11" i="5"/>
  <c r="F11" i="5" s="1"/>
  <c r="G11" i="5" s="1"/>
  <c r="E12" i="5"/>
  <c r="F12" i="5" s="1"/>
  <c r="G12" i="5" s="1"/>
  <c r="E13" i="5"/>
  <c r="F13" i="5" s="1"/>
  <c r="G13" i="5" s="1"/>
  <c r="E14" i="5"/>
  <c r="F14" i="5" s="1"/>
  <c r="G14" i="5" s="1"/>
  <c r="E15" i="5"/>
  <c r="F15" i="5" s="1"/>
  <c r="G15" i="5" s="1"/>
  <c r="E16" i="5"/>
  <c r="F16" i="5" s="1"/>
  <c r="G16" i="5" s="1"/>
  <c r="E17" i="5"/>
  <c r="F17" i="5" s="1"/>
  <c r="G17" i="5" s="1"/>
  <c r="E19" i="5"/>
  <c r="F19" i="5" s="1"/>
  <c r="G19" i="5" s="1"/>
  <c r="E20" i="5"/>
  <c r="F20" i="5" s="1"/>
  <c r="G20" i="5" s="1"/>
  <c r="E8" i="5"/>
  <c r="F8" i="5" s="1"/>
  <c r="G8" i="5" s="1"/>
  <c r="E6" i="5"/>
  <c r="F6" i="5" s="1"/>
  <c r="G6" i="5" s="1"/>
  <c r="E5" i="5"/>
  <c r="F5" i="5" s="1"/>
  <c r="G5" i="5" s="1"/>
  <c r="D23" i="5"/>
  <c r="D24" i="5"/>
  <c r="D25" i="5"/>
  <c r="D26" i="5"/>
  <c r="D22" i="5"/>
  <c r="D9" i="5"/>
  <c r="D10" i="5"/>
  <c r="D11" i="5"/>
  <c r="D12" i="5"/>
  <c r="D13" i="5"/>
  <c r="D14" i="5"/>
  <c r="D15" i="5"/>
  <c r="D16" i="5"/>
  <c r="D17" i="5"/>
  <c r="D19" i="5"/>
  <c r="D20" i="5"/>
  <c r="D8" i="5"/>
  <c r="D6" i="5"/>
  <c r="D5" i="5"/>
  <c r="O22" i="6"/>
  <c r="O21" i="6"/>
  <c r="O20" i="6"/>
  <c r="O17" i="6"/>
  <c r="O16" i="6"/>
  <c r="O15" i="6"/>
  <c r="O14" i="6"/>
  <c r="O13" i="6"/>
  <c r="O12" i="6"/>
  <c r="O11" i="6"/>
  <c r="O10" i="6"/>
  <c r="O9" i="6"/>
  <c r="O8" i="6"/>
  <c r="O7" i="6"/>
  <c r="O6" i="6"/>
  <c r="O5" i="6"/>
  <c r="O4" i="6"/>
  <c r="M22" i="6"/>
  <c r="M20" i="6"/>
  <c r="M17" i="6"/>
  <c r="M15" i="6"/>
  <c r="M11" i="6"/>
  <c r="M10" i="6"/>
  <c r="M9" i="6"/>
  <c r="M8" i="6"/>
  <c r="M7" i="6"/>
  <c r="M6" i="6"/>
  <c r="M5" i="6"/>
  <c r="M4" i="6"/>
  <c r="M18" i="6" s="1"/>
  <c r="G22" i="5" l="1"/>
  <c r="G25" i="5"/>
  <c r="D18" i="5"/>
  <c r="K24" i="6" l="1"/>
  <c r="K22" i="6"/>
  <c r="K21" i="6"/>
  <c r="K20" i="6"/>
  <c r="K18" i="6"/>
  <c r="K17" i="6"/>
  <c r="K15" i="6"/>
  <c r="K14" i="6"/>
  <c r="K13" i="6"/>
  <c r="K12" i="6"/>
  <c r="K10" i="6"/>
  <c r="K4" i="6"/>
  <c r="K9" i="6"/>
  <c r="K8" i="6"/>
  <c r="K7" i="6"/>
  <c r="K6" i="6"/>
  <c r="K5" i="6"/>
  <c r="F6" i="6" l="1"/>
  <c r="F8" i="6"/>
  <c r="F9" i="6"/>
  <c r="F10" i="6"/>
  <c r="F11" i="6"/>
  <c r="F12" i="6"/>
  <c r="F13" i="6"/>
  <c r="G13" i="6" s="1"/>
  <c r="F14" i="6"/>
  <c r="F15" i="6"/>
  <c r="F16" i="6"/>
  <c r="F17" i="6"/>
  <c r="F18" i="6"/>
  <c r="F19" i="6"/>
  <c r="F22" i="6"/>
  <c r="G22" i="6" s="1"/>
  <c r="F23" i="6"/>
  <c r="G23" i="6" s="1"/>
  <c r="F24" i="6"/>
  <c r="G24" i="6" s="1"/>
  <c r="F5" i="6"/>
  <c r="G25" i="6"/>
  <c r="B25" i="6"/>
  <c r="B20" i="6"/>
  <c r="B26" i="6" l="1"/>
  <c r="F20" i="6"/>
  <c r="M26" i="4"/>
  <c r="M21" i="4"/>
  <c r="C26" i="4"/>
  <c r="C21" i="4"/>
  <c r="C27" i="4" s="1"/>
  <c r="M27" i="4" l="1"/>
  <c r="G26" i="6"/>
  <c r="I26" i="4"/>
  <c r="E24" i="4"/>
  <c r="E25" i="4"/>
  <c r="E23" i="4"/>
  <c r="I21" i="4"/>
  <c r="I27" i="4" l="1"/>
  <c r="D12" i="8" l="1"/>
  <c r="D10" i="8"/>
  <c r="D26" i="7"/>
  <c r="C26" i="7"/>
  <c r="B26" i="7"/>
  <c r="D21" i="7" l="1"/>
  <c r="D27" i="7" s="1"/>
  <c r="C21" i="7"/>
  <c r="C27" i="7" s="1"/>
  <c r="B21" i="7"/>
  <c r="B27" i="7" l="1"/>
  <c r="G26" i="1"/>
  <c r="F26" i="1"/>
  <c r="E26" i="1"/>
  <c r="C26" i="1"/>
  <c r="B26" i="1"/>
  <c r="D26" i="1" s="1"/>
  <c r="D25" i="1"/>
  <c r="D24" i="1"/>
  <c r="D23" i="1"/>
  <c r="G21" i="1"/>
  <c r="G27" i="1" s="1"/>
  <c r="F21" i="1"/>
  <c r="F27" i="1" s="1"/>
  <c r="E21" i="1"/>
  <c r="E27" i="1" s="1"/>
  <c r="C21" i="1" l="1"/>
  <c r="C27" i="1" s="1"/>
  <c r="B21" i="1"/>
  <c r="D20" i="1"/>
  <c r="D19" i="1"/>
  <c r="D18" i="1"/>
  <c r="D17" i="1"/>
  <c r="D16" i="1"/>
  <c r="D15" i="1"/>
  <c r="D13" i="1"/>
  <c r="D12" i="1"/>
  <c r="D11" i="1"/>
  <c r="D10" i="1"/>
  <c r="D9" i="1"/>
  <c r="D7" i="1"/>
  <c r="D6" i="1"/>
  <c r="D21" i="1" l="1"/>
  <c r="B27" i="1"/>
  <c r="D27" i="1" s="1"/>
  <c r="S19" i="6"/>
  <c r="G19" i="6"/>
  <c r="S18" i="6"/>
  <c r="G18" i="6" l="1"/>
  <c r="S17" i="6"/>
  <c r="S16" i="6"/>
  <c r="S15" i="6"/>
  <c r="S14" i="6"/>
  <c r="S13" i="6"/>
  <c r="S12" i="6"/>
  <c r="S11" i="6"/>
  <c r="G11" i="6"/>
  <c r="S10" i="6"/>
  <c r="S9" i="6"/>
  <c r="S8" i="6"/>
  <c r="G9" i="6" l="1"/>
  <c r="G10" i="6"/>
  <c r="G14" i="6"/>
  <c r="G15" i="6"/>
  <c r="G16" i="6"/>
  <c r="G17" i="6"/>
  <c r="G12" i="6"/>
  <c r="G8" i="6"/>
  <c r="S7" i="6"/>
  <c r="S6" i="6"/>
  <c r="G6" i="6" l="1"/>
  <c r="S5" i="6"/>
  <c r="S4" i="6"/>
  <c r="G5" i="6" l="1"/>
  <c r="G20" i="6" s="1"/>
  <c r="S20" i="6"/>
  <c r="G26" i="4"/>
  <c r="E26" i="4"/>
  <c r="B26" i="4"/>
  <c r="K25" i="4"/>
  <c r="K24" i="4"/>
  <c r="K23" i="4"/>
  <c r="K21" i="4" l="1"/>
  <c r="G21" i="4"/>
  <c r="B21" i="4"/>
  <c r="E20" i="4"/>
  <c r="E19" i="4"/>
  <c r="E18" i="4"/>
  <c r="E17" i="4"/>
  <c r="E16" i="4"/>
  <c r="E15" i="4"/>
  <c r="E14" i="4"/>
  <c r="E13" i="4"/>
  <c r="E12" i="4"/>
  <c r="E11" i="4"/>
  <c r="E10" i="4"/>
  <c r="E9" i="4"/>
  <c r="E7" i="4"/>
  <c r="E6" i="4"/>
  <c r="E21" i="4" l="1"/>
  <c r="G27" i="4"/>
  <c r="E27" i="4" s="1"/>
  <c r="B27" i="4" l="1"/>
  <c r="K26" i="4" s="1"/>
  <c r="K27" i="4"/>
</calcChain>
</file>

<file path=xl/sharedStrings.xml><?xml version="1.0" encoding="utf-8"?>
<sst xmlns="http://schemas.openxmlformats.org/spreadsheetml/2006/main" count="348" uniqueCount="118">
  <si>
    <t>المحافظة</t>
  </si>
  <si>
    <t>نينوى</t>
  </si>
  <si>
    <t>كركوك</t>
  </si>
  <si>
    <t>ديالى</t>
  </si>
  <si>
    <t>الانبار</t>
  </si>
  <si>
    <t>بغداد / أمانة بغداد</t>
  </si>
  <si>
    <t>بغداد / أطراف بغداد</t>
  </si>
  <si>
    <t>بابل</t>
  </si>
  <si>
    <t>كربلاء</t>
  </si>
  <si>
    <t>واسط</t>
  </si>
  <si>
    <t>صلاح الدين</t>
  </si>
  <si>
    <t>النجف</t>
  </si>
  <si>
    <t>القادسية</t>
  </si>
  <si>
    <t>المثنى</t>
  </si>
  <si>
    <t>ذي قار</t>
  </si>
  <si>
    <t>ميسان</t>
  </si>
  <si>
    <t>البصرة</t>
  </si>
  <si>
    <t>المجموع</t>
  </si>
  <si>
    <t xml:space="preserve">عدد المحطات التحويلية النظامية </t>
  </si>
  <si>
    <t xml:space="preserve">           2 . أمانة بغداد / دائرة المخلفات الصلبة والبيئة</t>
  </si>
  <si>
    <t>عدد البلديات</t>
  </si>
  <si>
    <t xml:space="preserve">المصدر: 1 . وزارة البلديات والأشغال العامة / مديرية البلديات العامة / قسم البيئة  </t>
  </si>
  <si>
    <t>عدد السكان الكلي *</t>
  </si>
  <si>
    <t xml:space="preserve">* عدد السكان حسب تقديرات الجهاز المركزي للإحصاء </t>
  </si>
  <si>
    <t>الأنبار</t>
  </si>
  <si>
    <t xml:space="preserve"> الحاصلة على الموافقة البيئية</t>
  </si>
  <si>
    <t xml:space="preserve"> غير الحاصلة على الموافقة البيئية</t>
  </si>
  <si>
    <t xml:space="preserve">عدد مواقع الطمر الصحي </t>
  </si>
  <si>
    <t>كمية النفايات المتولدة عن كل فرد (كغم/يوم)</t>
  </si>
  <si>
    <t>كمية المخلفات المرفوعة (طن/يوم)</t>
  </si>
  <si>
    <t>كمية النفايات المرفوعة (كغم/سنة)</t>
  </si>
  <si>
    <t>كمية النفايات المرفوعة (كغم/يوم)</t>
  </si>
  <si>
    <t>كمية النفايات المرفوعة (طن/ سنة)</t>
  </si>
  <si>
    <t>كمية النفايات المرفوعة (طن/ يوم)</t>
  </si>
  <si>
    <t>السكراب (طن/سنة)</t>
  </si>
  <si>
    <t>داخل التصميم</t>
  </si>
  <si>
    <t>خارج التصميم</t>
  </si>
  <si>
    <t>عدد مواقع الطمر الصحي الحاصلة على الموافقة البيئية</t>
  </si>
  <si>
    <t>الأنقاض بالمتر المكعب</t>
  </si>
  <si>
    <t>الأنقاض بالطن</t>
  </si>
  <si>
    <t>عدد المحافظات</t>
  </si>
  <si>
    <t>اسم المحافظة</t>
  </si>
  <si>
    <t>المشاكل</t>
  </si>
  <si>
    <t>إجمالي</t>
  </si>
  <si>
    <t xml:space="preserve"> </t>
  </si>
  <si>
    <t>كمية المخلفات المرفوعة (طن/سنة)</t>
  </si>
  <si>
    <t xml:space="preserve">نسبة السكان المخدومين بخدمة جمع النفايات </t>
  </si>
  <si>
    <t>امانة بغداد</t>
  </si>
  <si>
    <t>المحافظات</t>
  </si>
  <si>
    <t>الحضر</t>
  </si>
  <si>
    <t>عدد السكان المخدومين</t>
  </si>
  <si>
    <t>العراق</t>
  </si>
  <si>
    <t>عدد السكان *</t>
  </si>
  <si>
    <t>عدد المؤسسات البلدية</t>
  </si>
  <si>
    <t>موقعها نسبة إلى التصميم الأساس للبلدية</t>
  </si>
  <si>
    <t>قسم إحصاءات البيئة - الجهاز المركزي للإحصاء/ العراق</t>
  </si>
  <si>
    <t xml:space="preserve">.. بيانات غير متوفرة بسبب تدهور الأوضاع الامنية في هذه المحافظات </t>
  </si>
  <si>
    <t xml:space="preserve">الأنبار </t>
  </si>
  <si>
    <t>النسبة المئوية لأهم المشاكل التي يعاني منها قطاع الخدمات البلدية في جمع النفايات حسب المحافظة لسنة 2015</t>
  </si>
  <si>
    <t xml:space="preserve">جدول (3-1) </t>
  </si>
  <si>
    <t xml:space="preserve">جدول (3-2) </t>
  </si>
  <si>
    <t xml:space="preserve">جدول (3-3) </t>
  </si>
  <si>
    <t>جدول (3-4)</t>
  </si>
  <si>
    <t xml:space="preserve">جدول (3-5) </t>
  </si>
  <si>
    <t xml:space="preserve">جدول (3-6) </t>
  </si>
  <si>
    <t>قلة التخصيصات المالية لتنفيذ مشاريع أعمال التنظيفات حيث أن هذه الأعمال ضمن موازنة المحافظة</t>
  </si>
  <si>
    <t>ضعف الأداء المؤسسي للمحافظات في رصد مبالغ لتنفيذ مشاريع معامل تدوير النفايات ضمن موازنة تنمية الأقاليم</t>
  </si>
  <si>
    <t>ضعف التنسيق بين الدوائر الساندة التي تعطي الموافقات الأصولية لمشاريع الطمر الصحي والمحطات التحويلية</t>
  </si>
  <si>
    <t>قلة الوعي البيئي وعدم إلتزام المواطنين بالتوقيتات الزمنية لرفع النفايات الأمر الذي يؤدي إلى تعطيل منظومة الجمع والنقل للنفايات</t>
  </si>
  <si>
    <t xml:space="preserve">تابع/ جدول (3-6) </t>
  </si>
  <si>
    <t xml:space="preserve">قلة الحاويات المخصصة لجمع النفايات وعدم وجود حاويات متخصصة حديثة لتضررها نتيجة الأستعمال وتأخر تعويض المتضرر منها </t>
  </si>
  <si>
    <t>..</t>
  </si>
  <si>
    <t>اقليم كردستان</t>
  </si>
  <si>
    <t>اجمالي العراق</t>
  </si>
  <si>
    <t>النسبة المئوية</t>
  </si>
  <si>
    <t xml:space="preserve"> عدد مواقع الطمر الصحي الحاصلة وغير الحاصلة على الموافقة البيئية والمحطات التحويلية النظامية وغير النظامية ومواقع الرمي العشوائي حسب المحافظة لسنة 2015</t>
  </si>
  <si>
    <t>عدد المؤسسات البلدية ونسبة السكان المخدومين بخدمة جمع النفايات حسب البيئة والمحافظة لسنة 2015</t>
  </si>
  <si>
    <t>الريف</t>
  </si>
  <si>
    <t xml:space="preserve">صلاح الدين </t>
  </si>
  <si>
    <t xml:space="preserve">دهوك </t>
  </si>
  <si>
    <t xml:space="preserve">السليمانية </t>
  </si>
  <si>
    <t xml:space="preserve">اربيل </t>
  </si>
  <si>
    <t>المصدر : المسح البيئي في العراق (المياه ــ المجاري ــ الخدمات البلدية) لسنة 2016</t>
  </si>
  <si>
    <t xml:space="preserve"> أمانة بغداد</t>
  </si>
  <si>
    <t xml:space="preserve"> أطراف بغداد</t>
  </si>
  <si>
    <t>اجمالي</t>
  </si>
  <si>
    <t>اربيل</t>
  </si>
  <si>
    <t xml:space="preserve">عدد سكان المخدومين بخدمة جمع النفايات </t>
  </si>
  <si>
    <t>كمية النفايات المرفوعة والنفايات المتولّدة عن كل فرد حسب المحافظة لسنة 2015</t>
  </si>
  <si>
    <t>طن باليوم</t>
  </si>
  <si>
    <t>طن بالسنة</t>
  </si>
  <si>
    <t>النفايات</t>
  </si>
  <si>
    <t>الأنقاض</t>
  </si>
  <si>
    <t>السكراب</t>
  </si>
  <si>
    <t>عدد مواقع الطمر الصحي الحاصلة على الموافقة البيئية نسبة للتصميم الأساس للبلدية حسب المحافظة لسنة 2015</t>
  </si>
  <si>
    <t>امانة بغداد ، كافة المحافظات عدا محافظتي (نينوى والأنبار)</t>
  </si>
  <si>
    <t>كافة المحافظات عدا محافظتي (نينوى والأنبار)</t>
  </si>
  <si>
    <t>المصدر :  المسح البيئي في العراق (المياه ــ المجاري ــ الخدمات البلدية) لسنة 2016</t>
  </si>
  <si>
    <t>أمانة بغداد</t>
  </si>
  <si>
    <t>أطراف بغداد</t>
  </si>
  <si>
    <t xml:space="preserve">كربلاء </t>
  </si>
  <si>
    <t xml:space="preserve"> عدد مواقع الرمي العشوائي</t>
  </si>
  <si>
    <t xml:space="preserve">قلة عدد الآليات المخصصة العاملة في مجال النفايات من حيث (الجمع، النقل والمعالجة) وتقادم البعض منها </t>
  </si>
  <si>
    <t>صعوبة تغطية المحطات التحويلية النموذجية لكافة المؤسسات البلدية ومشاكل الطمر العشوائي للنفايات وعدم كفاية المتوفر منها لتغطية الحاجة الفعلية للكميات المفرزة يومياً</t>
  </si>
  <si>
    <t>ــ يتبع ــ</t>
  </si>
  <si>
    <t>كمية النفايات الإعتيادية والمخلفات المرفوعة حسب المحافظة لسنة 2015</t>
  </si>
  <si>
    <t>النفايات الإعتيادية (طن/سنة)</t>
  </si>
  <si>
    <t>الأنقاض (مخلفات الهدم والبناء) (طن/سنة)</t>
  </si>
  <si>
    <t>ملاحظة : المخلفات المرفوعة تشمل (النفايات الإعتيادية + الأنقاض وتضم مخلفات الهدم والبناء + السكراب)</t>
  </si>
  <si>
    <t xml:space="preserve">عدد المحطات التحويلية غير النظامية (مواقع التجميع المؤقت) </t>
  </si>
  <si>
    <t>أنتشار التجمعات السكنية العشوائية المتجاوزة على الإستعمال الزراعي مما يؤثر وبصورة بارزة على مستوى تقديم الخدمات المقدمة من قبل أمانة بغداد ومنها خدمات النظافة وكثرة التجاوزات على الأراضي المخصصة للخدمات العامة (كالمدارس، المراكز الصحية، المستشفيات، المتنزهات وغيرها من الخدمات) وبالتالي تقليص المساحات المخصصة لهذه الفعاليات الحيوية</t>
  </si>
  <si>
    <t>سعة الرقعة الجغرافية لمدينة بغداد وأمتدادها الأفقي وماينتج عنه من الأفراز الكبير من النفايات التي لا تتناسب مع ما موجود من جهد آلي وبشري (ذاتي ومؤجر) لكافة المؤسسات البلدية لتغطية الخدمات المطلوبة</t>
  </si>
  <si>
    <t>مجانية خدمات النظافة للمناطق السكنية وما يرافقها من عدم أكتراث متلقي الخدمة وضعف الإدراك بتأثير الإستجابة السلبية للمواطن وأنعدام التعاون بين مقدم الخدمة ومتلقيها</t>
  </si>
  <si>
    <t xml:space="preserve">الرمي العشوائي للنفايات في المواقع غير المخصصة لها من قبل المواطنين والمحلات التجارية </t>
  </si>
  <si>
    <t>عدم استخدام الأكياس المخصصة لجمع النفايات والموزعة على المواطنين وضعف المعايير المحددة لمتابعة أعمال النظافة</t>
  </si>
  <si>
    <t>قلة الدراسات والبحوث المتعلقة بقطاع خدمات النظافة لوضع آلية سليمة لإدارة النفايات في مدينة بغداد وضعف القطاع الخاص المحلي المتخصص بهذا المجال فضلاً عن ضعف اشتراك القطاع المتخصص من الشركات العالمية المتخصصة بهذا المجال</t>
  </si>
  <si>
    <t xml:space="preserve">قلة عدد العاملين </t>
  </si>
  <si>
    <t>عدم وجود منظومة فرز للنفايات من المصدر وقلة إستخدام الأكياس من قبل المواطنين وعدم الإستفادة منها في جمع النفايات</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</si>
</sst>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x14ac:knownFonts="1">
    <font>
      <sz val="11"/>
      <color theme="1"/>
      <name val="Calibri"/>
      <family val="2"/>
      <scheme val="minor"/>
    </font>
    <font>
      <b/>
      <sz val="10"/>
      <color indexed="8"/>
      <name val="Times New Roman"/>
      <family val="1"/>
    </font>
    <font>
      <b/>
      <sz val="10"/>
      <color theme="1"/>
      <name val="Times New Roman"/>
      <family val="1"/>
    </font>
    <font>
      <b/>
      <sz val="9"/>
      <color theme="1"/>
      <name val="Arial"/>
      <family val="2"/>
    </font>
    <font>
      <b/>
      <sz val="10"/>
      <color indexed="8"/>
      <name val="Arial"/>
      <family val="2"/>
    </font>
    <font>
      <b/>
      <sz val="9"/>
      <color indexed="8"/>
      <name val="Arial"/>
      <family val="2"/>
    </font>
    <font>
      <b/>
      <sz val="9"/>
      <name val="Arial"/>
      <family val="2"/>
    </font>
    <font>
      <b/>
      <sz val="12"/>
      <color indexed="8"/>
      <name val="Arial"/>
      <family val="2"/>
    </font>
    <font>
      <b/>
      <sz val="12"/>
      <color theme="1"/>
      <name val="Arial"/>
      <family val="2"/>
    </font>
    <font>
      <b/>
      <sz val="10"/>
      <name val="Times New Roman"/>
      <family val="1"/>
    </font>
    <font>
      <b/>
      <sz val="9"/>
      <name val="Times New Roman"/>
      <family val="1"/>
    </font>
    <font>
      <sz val="12"/>
      <color theme="1"/>
      <name val="Arial"/>
      <family val="2"/>
    </font>
    <font>
      <sz val="11"/>
      <color theme="1"/>
      <name val="Arial"/>
      <family val="2"/>
    </font>
    <font>
      <sz val="12"/>
      <color indexed="8"/>
      <name val="Arial"/>
      <family val="2"/>
    </font>
    <font>
      <b/>
      <sz val="11"/>
      <color indexed="8"/>
      <name val="Arial"/>
      <family val="2"/>
    </font>
    <font>
      <b/>
      <sz val="10"/>
      <color theme="1"/>
      <name val="Arial"/>
      <family val="2"/>
    </font>
    <font>
      <b/>
      <sz val="10"/>
      <color rgb="FFFF0000"/>
      <name val="Times New Roman"/>
      <family val="1"/>
    </font>
    <font>
      <b/>
      <sz val="10"/>
      <color indexed="8"/>
      <name val="Cambria"/>
      <family val="1"/>
      <scheme val="major"/>
    </font>
    <font>
      <b/>
      <sz val="11"/>
      <color theme="1"/>
      <name val="Cambria"/>
      <family val="1"/>
      <scheme val="major"/>
    </font>
    <font>
      <b/>
      <sz val="12"/>
      <name val="Arial"/>
      <family val="2"/>
    </font>
    <font>
      <b/>
      <sz val="10"/>
      <name val="Arial"/>
      <family val="2"/>
    </font>
    <font>
      <sz val="11"/>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9EEED"/>
        <bgColor indexed="64"/>
      </patternFill>
    </fill>
  </fills>
  <borders count="16">
    <border>
      <left/>
      <right/>
      <top/>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auto="1"/>
      </top>
      <bottom/>
      <diagonal/>
    </border>
    <border>
      <left/>
      <right/>
      <top/>
      <bottom style="thin">
        <color auto="1"/>
      </bottom>
      <diagonal/>
    </border>
    <border>
      <left/>
      <right/>
      <top style="double">
        <color indexed="64"/>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double">
        <color indexed="64"/>
      </bottom>
      <diagonal/>
    </border>
    <border>
      <left/>
      <right/>
      <top/>
      <bottom style="hair">
        <color indexed="64"/>
      </bottom>
      <diagonal/>
    </border>
    <border>
      <left/>
      <right/>
      <top style="double">
        <color indexed="64"/>
      </top>
      <bottom style="hair">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1" fillId="0" borderId="0"/>
    <xf numFmtId="0" fontId="12" fillId="0" borderId="0"/>
    <xf numFmtId="0" fontId="12" fillId="0" borderId="0"/>
    <xf numFmtId="0" fontId="11" fillId="0" borderId="0"/>
    <xf numFmtId="0" fontId="11" fillId="0" borderId="0"/>
    <xf numFmtId="0" fontId="11" fillId="0" borderId="0"/>
    <xf numFmtId="9" fontId="13" fillId="0" borderId="0" applyFont="0" applyFill="0" applyBorder="0" applyAlignment="0" applyProtection="0"/>
  </cellStyleXfs>
  <cellXfs count="211">
    <xf numFmtId="0" fontId="0" fillId="0" borderId="0" xfId="0"/>
    <xf numFmtId="0" fontId="3" fillId="0" borderId="6" xfId="0" applyFont="1" applyBorder="1" applyAlignment="1">
      <alignment vertical="center"/>
    </xf>
    <xf numFmtId="1" fontId="1" fillId="0" borderId="0" xfId="0" applyNumberFormat="1" applyFont="1" applyBorder="1" applyAlignment="1">
      <alignment horizontal="center" vertical="center" wrapText="1"/>
    </xf>
    <xf numFmtId="0" fontId="3" fillId="0" borderId="6" xfId="0" applyFont="1" applyBorder="1" applyAlignment="1">
      <alignment horizontal="right" vertical="center" readingOrder="2"/>
    </xf>
    <xf numFmtId="0" fontId="4" fillId="0" borderId="0" xfId="0" applyFont="1" applyBorder="1" applyAlignment="1">
      <alignment horizontal="center" vertical="center" wrapText="1"/>
    </xf>
    <xf numFmtId="0" fontId="3" fillId="0" borderId="6" xfId="0" applyFont="1" applyBorder="1" applyAlignment="1">
      <alignment horizontal="right" vertical="center" readingOrder="2"/>
    </xf>
    <xf numFmtId="0" fontId="3" fillId="0" borderId="6" xfId="0" applyFont="1" applyBorder="1" applyAlignment="1">
      <alignment horizontal="right" vertical="center" readingOrder="2"/>
    </xf>
    <xf numFmtId="0" fontId="3" fillId="0" borderId="6" xfId="0" applyFont="1" applyBorder="1" applyAlignment="1">
      <alignment horizontal="right" vertical="center" readingOrder="2"/>
    </xf>
    <xf numFmtId="0" fontId="0" fillId="0" borderId="0" xfId="0"/>
    <xf numFmtId="1"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1" fontId="1" fillId="0" borderId="9" xfId="0" applyNumberFormat="1" applyFont="1" applyBorder="1" applyAlignment="1">
      <alignment horizontal="center" vertical="center" wrapText="1"/>
    </xf>
    <xf numFmtId="0" fontId="4" fillId="3" borderId="2" xfId="0" applyFont="1" applyFill="1" applyBorder="1" applyAlignment="1">
      <alignment horizontal="righ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1" fontId="1" fillId="3" borderId="2" xfId="0" applyNumberFormat="1" applyFont="1" applyFill="1" applyBorder="1" applyAlignment="1">
      <alignment horizontal="left" vertical="center" wrapText="1"/>
    </xf>
    <xf numFmtId="1" fontId="1" fillId="3" borderId="3" xfId="0" applyNumberFormat="1" applyFont="1" applyFill="1" applyBorder="1" applyAlignment="1">
      <alignment horizontal="left" vertical="center" wrapText="1"/>
    </xf>
    <xf numFmtId="0" fontId="0" fillId="3" borderId="0" xfId="0" applyFill="1"/>
    <xf numFmtId="3" fontId="9" fillId="3" borderId="2" xfId="0" applyNumberFormat="1" applyFont="1" applyFill="1" applyBorder="1" applyAlignment="1">
      <alignment horizontal="left" vertical="center" wrapText="1"/>
    </xf>
    <xf numFmtId="3" fontId="1" fillId="3" borderId="2" xfId="0" applyNumberFormat="1" applyFont="1" applyFill="1" applyBorder="1" applyAlignment="1">
      <alignment vertical="center" wrapText="1"/>
    </xf>
    <xf numFmtId="3" fontId="9" fillId="0" borderId="2" xfId="0" applyNumberFormat="1" applyFont="1" applyBorder="1" applyAlignment="1">
      <alignment horizontal="left" vertical="center" wrapText="1"/>
    </xf>
    <xf numFmtId="0" fontId="7" fillId="0" borderId="0" xfId="1" applyFont="1" applyAlignment="1">
      <alignment vertical="center" wrapText="1"/>
    </xf>
    <xf numFmtId="0" fontId="14" fillId="0" borderId="0" xfId="0" applyFont="1" applyAlignment="1">
      <alignment vertical="center" wrapText="1"/>
    </xf>
    <xf numFmtId="0" fontId="15" fillId="0" borderId="0" xfId="1" applyFont="1" applyBorder="1" applyAlignment="1">
      <alignment horizontal="right" vertical="center" wrapText="1"/>
    </xf>
    <xf numFmtId="0" fontId="15" fillId="0" borderId="0" xfId="1" applyFont="1" applyBorder="1" applyAlignment="1">
      <alignment horizontal="left" vertical="center" wrapText="1"/>
    </xf>
    <xf numFmtId="0" fontId="11" fillId="0" borderId="0" xfId="1" applyFont="1"/>
    <xf numFmtId="0" fontId="11" fillId="0" borderId="0" xfId="1" applyFont="1" applyAlignment="1">
      <alignment horizontal="left"/>
    </xf>
    <xf numFmtId="0" fontId="2" fillId="0" borderId="5" xfId="1" applyFont="1" applyBorder="1" applyAlignment="1">
      <alignment horizontal="left" vertical="center" wrapText="1"/>
    </xf>
    <xf numFmtId="0" fontId="2" fillId="0" borderId="2" xfId="1" applyFont="1" applyBorder="1" applyAlignment="1">
      <alignment horizontal="left" vertical="center" wrapText="1"/>
    </xf>
    <xf numFmtId="164" fontId="2" fillId="0" borderId="2" xfId="1" applyNumberFormat="1" applyFont="1" applyBorder="1" applyAlignment="1">
      <alignment horizontal="left" vertical="center" wrapText="1"/>
    </xf>
    <xf numFmtId="164" fontId="2" fillId="0" borderId="5" xfId="1" applyNumberFormat="1" applyFont="1" applyBorder="1" applyAlignment="1">
      <alignment horizontal="left" vertical="center" wrapText="1"/>
    </xf>
    <xf numFmtId="0" fontId="2" fillId="0" borderId="10" xfId="1" applyFont="1" applyBorder="1" applyAlignment="1">
      <alignment horizontal="left" vertical="center" wrapText="1"/>
    </xf>
    <xf numFmtId="164" fontId="2" fillId="0" borderId="10" xfId="1" applyNumberFormat="1" applyFont="1" applyBorder="1" applyAlignment="1">
      <alignment horizontal="left" vertical="center" wrapText="1"/>
    </xf>
    <xf numFmtId="0" fontId="4" fillId="0" borderId="0" xfId="0" applyFont="1" applyBorder="1" applyAlignment="1">
      <alignment horizontal="right" vertical="center" wrapText="1"/>
    </xf>
    <xf numFmtId="1" fontId="1" fillId="3" borderId="0" xfId="0" applyNumberFormat="1" applyFont="1" applyFill="1" applyBorder="1" applyAlignment="1">
      <alignment horizontal="left" vertical="center" wrapText="1"/>
    </xf>
    <xf numFmtId="3" fontId="1" fillId="3" borderId="0" xfId="0" applyNumberFormat="1" applyFont="1" applyFill="1" applyBorder="1" applyAlignment="1">
      <alignment vertical="center" wrapText="1"/>
    </xf>
    <xf numFmtId="3" fontId="9" fillId="3" borderId="2" xfId="0" applyNumberFormat="1" applyFont="1" applyFill="1" applyBorder="1" applyAlignment="1">
      <alignment vertical="center" wrapText="1"/>
    </xf>
    <xf numFmtId="164" fontId="9" fillId="0" borderId="2" xfId="0" applyNumberFormat="1" applyFont="1" applyBorder="1" applyAlignment="1">
      <alignment horizontal="left" vertical="center" wrapText="1"/>
    </xf>
    <xf numFmtId="0" fontId="7" fillId="0" borderId="0" xfId="0" applyFont="1" applyAlignment="1">
      <alignment horizontal="center" vertical="center" wrapText="1"/>
    </xf>
    <xf numFmtId="0" fontId="10" fillId="0" borderId="0" xfId="0" applyFont="1" applyBorder="1" applyAlignment="1">
      <alignment horizontal="center" vertical="center" wrapText="1"/>
    </xf>
    <xf numFmtId="3" fontId="9" fillId="3" borderId="0" xfId="0" applyNumberFormat="1" applyFont="1" applyFill="1" applyBorder="1" applyAlignment="1">
      <alignment vertical="center" wrapText="1"/>
    </xf>
    <xf numFmtId="3" fontId="9" fillId="0" borderId="0" xfId="0" applyNumberFormat="1" applyFont="1" applyBorder="1" applyAlignment="1">
      <alignment horizontal="left" vertical="center" wrapText="1"/>
    </xf>
    <xf numFmtId="164" fontId="9" fillId="3" borderId="0" xfId="0" applyNumberFormat="1" applyFont="1" applyFill="1" applyBorder="1" applyAlignment="1">
      <alignment horizontal="left" vertical="center" wrapText="1"/>
    </xf>
    <xf numFmtId="0" fontId="3" fillId="0" borderId="0" xfId="0" applyFont="1" applyBorder="1" applyAlignment="1">
      <alignment horizontal="right" vertical="center" readingOrder="2"/>
    </xf>
    <xf numFmtId="164" fontId="2" fillId="0" borderId="3" xfId="1" applyNumberFormat="1" applyFont="1" applyBorder="1" applyAlignment="1">
      <alignment horizontal="left" vertical="center" wrapText="1"/>
    </xf>
    <xf numFmtId="1" fontId="9" fillId="3" borderId="2" xfId="0" applyNumberFormat="1" applyFont="1" applyFill="1" applyBorder="1" applyAlignment="1">
      <alignment horizontal="left" vertical="center" wrapText="1"/>
    </xf>
    <xf numFmtId="1" fontId="9" fillId="3" borderId="3" xfId="0" applyNumberFormat="1" applyFont="1" applyFill="1" applyBorder="1" applyAlignment="1">
      <alignment horizontal="left" vertical="center" wrapText="1"/>
    </xf>
    <xf numFmtId="0" fontId="2" fillId="0" borderId="3" xfId="1" applyFont="1" applyBorder="1" applyAlignment="1">
      <alignment horizontal="left" vertical="center" wrapText="1"/>
    </xf>
    <xf numFmtId="0" fontId="7" fillId="0" borderId="9" xfId="1" applyFont="1" applyBorder="1" applyAlignment="1">
      <alignment horizontal="center" vertical="center" wrapText="1"/>
    </xf>
    <xf numFmtId="0" fontId="5" fillId="0" borderId="0" xfId="0" applyFont="1" applyBorder="1" applyAlignment="1">
      <alignment horizontal="right" vertical="center" wrapText="1" readingOrder="2"/>
    </xf>
    <xf numFmtId="3" fontId="9" fillId="3" borderId="3" xfId="0" applyNumberFormat="1" applyFont="1" applyFill="1" applyBorder="1" applyAlignment="1">
      <alignment vertical="center" wrapText="1"/>
    </xf>
    <xf numFmtId="0" fontId="4" fillId="2" borderId="9" xfId="0" applyFont="1" applyFill="1" applyBorder="1" applyAlignment="1">
      <alignment horizontal="center" vertical="center" wrapText="1"/>
    </xf>
    <xf numFmtId="0" fontId="4" fillId="0" borderId="9" xfId="0" applyFont="1" applyBorder="1" applyAlignment="1">
      <alignment horizontal="right" vertical="center" wrapText="1"/>
    </xf>
    <xf numFmtId="165" fontId="9" fillId="3" borderId="2" xfId="0" applyNumberFormat="1" applyFont="1" applyFill="1" applyBorder="1" applyAlignment="1">
      <alignment horizontal="right" vertical="center"/>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right" vertical="center" wrapText="1"/>
    </xf>
    <xf numFmtId="0" fontId="4" fillId="0" borderId="2" xfId="0" applyFont="1" applyFill="1" applyBorder="1" applyAlignment="1">
      <alignment horizontal="right" vertical="center" wrapText="1"/>
    </xf>
    <xf numFmtId="1" fontId="1" fillId="0" borderId="2" xfId="0" applyNumberFormat="1" applyFont="1" applyFill="1" applyBorder="1" applyAlignment="1">
      <alignment horizontal="left" vertical="center" wrapText="1"/>
    </xf>
    <xf numFmtId="3" fontId="9" fillId="0" borderId="2" xfId="0" applyNumberFormat="1" applyFont="1" applyFill="1" applyBorder="1" applyAlignment="1">
      <alignment horizontal="left" vertical="center" wrapText="1"/>
    </xf>
    <xf numFmtId="3" fontId="9" fillId="3" borderId="2" xfId="0" applyNumberFormat="1" applyFont="1" applyFill="1" applyBorder="1" applyAlignment="1">
      <alignment horizontal="right" vertical="center" wrapText="1"/>
    </xf>
    <xf numFmtId="3" fontId="9" fillId="3" borderId="0" xfId="0" applyNumberFormat="1" applyFont="1" applyFill="1" applyBorder="1" applyAlignment="1">
      <alignment horizontal="left" vertical="center" wrapText="1"/>
    </xf>
    <xf numFmtId="0" fontId="4" fillId="4" borderId="4" xfId="0" applyFont="1" applyFill="1" applyBorder="1" applyAlignment="1">
      <alignment horizontal="right" vertical="center" wrapText="1"/>
    </xf>
    <xf numFmtId="0" fontId="15" fillId="4" borderId="7" xfId="1" applyFont="1" applyFill="1" applyBorder="1" applyAlignment="1">
      <alignment horizontal="right" vertical="center" wrapText="1"/>
    </xf>
    <xf numFmtId="0" fontId="5" fillId="5" borderId="8" xfId="0" applyFont="1" applyFill="1" applyBorder="1" applyAlignment="1">
      <alignment horizontal="right" vertical="center" wrapText="1"/>
    </xf>
    <xf numFmtId="0" fontId="7" fillId="0" borderId="9" xfId="1" applyFont="1" applyBorder="1" applyAlignment="1">
      <alignment horizontal="center" vertical="center" wrapText="1"/>
    </xf>
    <xf numFmtId="0" fontId="3" fillId="0" borderId="0" xfId="0" applyFont="1" applyBorder="1" applyAlignment="1">
      <alignment horizontal="right" vertical="center" readingOrder="2"/>
    </xf>
    <xf numFmtId="0" fontId="2" fillId="0" borderId="0" xfId="1" applyFont="1" applyBorder="1" applyAlignment="1">
      <alignment horizontal="left" vertical="center" wrapText="1"/>
    </xf>
    <xf numFmtId="164" fontId="2" fillId="0" borderId="0" xfId="1" applyNumberFormat="1" applyFont="1" applyBorder="1" applyAlignment="1">
      <alignment horizontal="left" vertical="center" wrapText="1"/>
    </xf>
    <xf numFmtId="0" fontId="15" fillId="4" borderId="4" xfId="1" applyFont="1" applyFill="1" applyBorder="1" applyAlignment="1">
      <alignment horizontal="right" vertical="center" wrapText="1"/>
    </xf>
    <xf numFmtId="0" fontId="8" fillId="0" borderId="0" xfId="0" applyFont="1" applyBorder="1" applyAlignment="1">
      <alignment vertical="center" wrapText="1"/>
    </xf>
    <xf numFmtId="0" fontId="5" fillId="0" borderId="0" xfId="0" applyFont="1" applyBorder="1" applyAlignment="1">
      <alignment horizontal="right" vertical="center" wrapText="1" readingOrder="2"/>
    </xf>
    <xf numFmtId="0" fontId="4" fillId="5" borderId="13" xfId="0" applyFont="1" applyFill="1" applyBorder="1" applyAlignment="1">
      <alignment horizontal="right" vertical="center" wrapText="1"/>
    </xf>
    <xf numFmtId="1" fontId="1" fillId="5" borderId="13" xfId="0" applyNumberFormat="1" applyFont="1" applyFill="1" applyBorder="1" applyAlignment="1">
      <alignment horizontal="left" vertical="center" wrapText="1"/>
    </xf>
    <xf numFmtId="3" fontId="9" fillId="5" borderId="13" xfId="0" applyNumberFormat="1" applyFont="1" applyFill="1" applyBorder="1" applyAlignment="1">
      <alignment horizontal="left" vertical="center" wrapText="1"/>
    </xf>
    <xf numFmtId="3" fontId="9" fillId="5" borderId="13" xfId="0" applyNumberFormat="1" applyFont="1" applyFill="1" applyBorder="1" applyAlignment="1">
      <alignment vertical="center" wrapText="1"/>
    </xf>
    <xf numFmtId="3" fontId="1" fillId="5" borderId="13" xfId="0" applyNumberFormat="1" applyFont="1" applyFill="1" applyBorder="1" applyAlignment="1">
      <alignment vertical="center" wrapText="1"/>
    </xf>
    <xf numFmtId="165" fontId="9" fillId="5" borderId="13" xfId="0" applyNumberFormat="1" applyFont="1" applyFill="1" applyBorder="1" applyAlignment="1">
      <alignment horizontal="left" vertical="center" wrapText="1"/>
    </xf>
    <xf numFmtId="165" fontId="9" fillId="0" borderId="2" xfId="0" applyNumberFormat="1" applyFont="1" applyFill="1" applyBorder="1" applyAlignment="1">
      <alignment horizontal="right" vertical="center"/>
    </xf>
    <xf numFmtId="0" fontId="4" fillId="5" borderId="8" xfId="0" applyFont="1" applyFill="1" applyBorder="1" applyAlignment="1">
      <alignment horizontal="right" vertical="center" wrapText="1"/>
    </xf>
    <xf numFmtId="1" fontId="1" fillId="3" borderId="2" xfId="0" applyNumberFormat="1" applyFont="1" applyFill="1" applyBorder="1" applyAlignment="1">
      <alignment horizontal="right" vertical="center" wrapText="1"/>
    </xf>
    <xf numFmtId="1" fontId="9" fillId="3" borderId="2" xfId="0" applyNumberFormat="1" applyFont="1" applyFill="1" applyBorder="1" applyAlignment="1">
      <alignment horizontal="right" vertical="center" wrapText="1"/>
    </xf>
    <xf numFmtId="0" fontId="5" fillId="0" borderId="0" xfId="0" applyFont="1" applyBorder="1" applyAlignment="1">
      <alignment horizontal="right" vertical="center" wrapText="1" readingOrder="2"/>
    </xf>
    <xf numFmtId="0" fontId="4" fillId="3" borderId="13" xfId="0" applyFont="1" applyFill="1" applyBorder="1" applyAlignment="1">
      <alignment horizontal="right" vertical="center" wrapText="1"/>
    </xf>
    <xf numFmtId="1" fontId="1" fillId="3" borderId="13" xfId="0" applyNumberFormat="1" applyFont="1" applyFill="1" applyBorder="1" applyAlignment="1">
      <alignment horizontal="left" vertical="center" wrapText="1"/>
    </xf>
    <xf numFmtId="3" fontId="9" fillId="3" borderId="13" xfId="0" applyNumberFormat="1" applyFont="1" applyFill="1" applyBorder="1" applyAlignment="1">
      <alignment horizontal="left" vertical="center" wrapText="1"/>
    </xf>
    <xf numFmtId="0" fontId="4" fillId="0" borderId="11" xfId="0" applyFont="1" applyBorder="1" applyAlignment="1">
      <alignment horizontal="right" vertical="center" wrapText="1"/>
    </xf>
    <xf numFmtId="1" fontId="1" fillId="3" borderId="11" xfId="0" applyNumberFormat="1" applyFont="1" applyFill="1" applyBorder="1" applyAlignment="1">
      <alignment horizontal="left" vertical="center" wrapText="1"/>
    </xf>
    <xf numFmtId="3" fontId="9" fillId="3" borderId="11" xfId="0" applyNumberFormat="1" applyFont="1" applyFill="1" applyBorder="1" applyAlignment="1">
      <alignment horizontal="left" vertical="center" wrapText="1"/>
    </xf>
    <xf numFmtId="3" fontId="9" fillId="0" borderId="11"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3" fontId="9" fillId="0" borderId="3" xfId="0" applyNumberFormat="1" applyFont="1" applyFill="1" applyBorder="1" applyAlignment="1">
      <alignment horizontal="left" vertical="center" wrapText="1"/>
    </xf>
    <xf numFmtId="1" fontId="1" fillId="5" borderId="13" xfId="0" applyNumberFormat="1" applyFont="1" applyFill="1" applyBorder="1" applyAlignment="1">
      <alignment horizontal="center" vertical="center" wrapText="1"/>
    </xf>
    <xf numFmtId="3" fontId="1" fillId="5" borderId="13" xfId="0" applyNumberFormat="1" applyFont="1" applyFill="1" applyBorder="1" applyAlignment="1">
      <alignment horizontal="left" vertical="center" wrapText="1"/>
    </xf>
    <xf numFmtId="0" fontId="4" fillId="3" borderId="0" xfId="0" applyFont="1" applyFill="1" applyBorder="1" applyAlignment="1">
      <alignment horizontal="right" vertical="center" wrapText="1"/>
    </xf>
    <xf numFmtId="0" fontId="1" fillId="3"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1" fontId="9" fillId="3" borderId="11" xfId="0" applyNumberFormat="1" applyFont="1" applyFill="1" applyBorder="1" applyAlignment="1">
      <alignment horizontal="left" vertical="center" wrapText="1"/>
    </xf>
    <xf numFmtId="0" fontId="1" fillId="5" borderId="13" xfId="0" applyFont="1" applyFill="1" applyBorder="1" applyAlignment="1">
      <alignment horizontal="center" vertical="center" wrapText="1"/>
    </xf>
    <xf numFmtId="1" fontId="1" fillId="5" borderId="13" xfId="0" applyNumberFormat="1" applyFont="1" applyFill="1" applyBorder="1" applyAlignment="1">
      <alignment vertical="center" wrapText="1"/>
    </xf>
    <xf numFmtId="1" fontId="1" fillId="3" borderId="0" xfId="0" applyNumberFormat="1" applyFont="1" applyFill="1" applyBorder="1" applyAlignment="1">
      <alignment vertical="center" wrapText="1"/>
    </xf>
    <xf numFmtId="0" fontId="1" fillId="5" borderId="13" xfId="0" applyFont="1" applyFill="1" applyBorder="1" applyAlignment="1">
      <alignment vertical="center" wrapText="1"/>
    </xf>
    <xf numFmtId="0" fontId="5" fillId="0" borderId="0" xfId="0" applyFont="1" applyBorder="1" applyAlignment="1">
      <alignment horizontal="right" vertical="center" wrapText="1" readingOrder="2"/>
    </xf>
    <xf numFmtId="0" fontId="15" fillId="0" borderId="2" xfId="1" applyFont="1" applyBorder="1" applyAlignment="1">
      <alignment horizontal="right" vertical="center" wrapText="1"/>
    </xf>
    <xf numFmtId="1" fontId="9" fillId="3" borderId="13" xfId="0" applyNumberFormat="1" applyFont="1" applyFill="1" applyBorder="1" applyAlignment="1">
      <alignment horizontal="left" vertical="center" wrapText="1"/>
    </xf>
    <xf numFmtId="1" fontId="9" fillId="3" borderId="2" xfId="0" applyNumberFormat="1" applyFont="1" applyFill="1" applyBorder="1" applyAlignment="1">
      <alignment vertical="center" wrapText="1"/>
    </xf>
    <xf numFmtId="1" fontId="9" fillId="0" borderId="2" xfId="0" applyNumberFormat="1" applyFont="1" applyFill="1" applyBorder="1" applyAlignment="1">
      <alignment horizontal="left" vertical="center" wrapText="1"/>
    </xf>
    <xf numFmtId="3" fontId="9" fillId="3" borderId="13" xfId="0" applyNumberFormat="1" applyFont="1" applyFill="1" applyBorder="1" applyAlignment="1">
      <alignment vertical="center" wrapText="1"/>
    </xf>
    <xf numFmtId="164" fontId="1" fillId="5" borderId="13" xfId="0" applyNumberFormat="1" applyFont="1" applyFill="1" applyBorder="1" applyAlignment="1">
      <alignment vertical="center" wrapText="1"/>
    </xf>
    <xf numFmtId="164" fontId="9" fillId="3" borderId="2" xfId="0" applyNumberFormat="1" applyFont="1" applyFill="1" applyBorder="1" applyAlignment="1">
      <alignment vertical="center" wrapText="1"/>
    </xf>
    <xf numFmtId="3" fontId="1" fillId="3" borderId="13" xfId="0" applyNumberFormat="1" applyFont="1" applyFill="1" applyBorder="1" applyAlignment="1">
      <alignment vertical="center" wrapText="1"/>
    </xf>
    <xf numFmtId="165" fontId="17" fillId="0" borderId="9" xfId="0" applyNumberFormat="1" applyFont="1" applyBorder="1" applyAlignment="1">
      <alignment horizontal="left" vertical="center" wrapText="1"/>
    </xf>
    <xf numFmtId="3" fontId="17" fillId="0" borderId="9" xfId="0" applyNumberFormat="1" applyFont="1" applyBorder="1" applyAlignment="1">
      <alignment horizontal="left" vertical="center" wrapText="1"/>
    </xf>
    <xf numFmtId="165" fontId="17" fillId="0" borderId="9" xfId="0" applyNumberFormat="1" applyFont="1" applyFill="1" applyBorder="1" applyAlignment="1">
      <alignment horizontal="left" vertical="center" wrapText="1"/>
    </xf>
    <xf numFmtId="165" fontId="17" fillId="6" borderId="9" xfId="0" applyNumberFormat="1" applyFont="1" applyFill="1" applyBorder="1" applyAlignment="1">
      <alignment horizontal="left" vertical="center" wrapText="1"/>
    </xf>
    <xf numFmtId="0" fontId="17" fillId="0" borderId="9" xfId="0" applyFont="1" applyBorder="1" applyAlignment="1">
      <alignment horizontal="right" vertical="center" wrapText="1"/>
    </xf>
    <xf numFmtId="0" fontId="18" fillId="0" borderId="9" xfId="0" applyFont="1" applyBorder="1" applyAlignment="1">
      <alignment vertical="center"/>
    </xf>
    <xf numFmtId="0" fontId="17" fillId="6" borderId="9" xfId="0" applyFont="1" applyFill="1" applyBorder="1" applyAlignment="1">
      <alignment horizontal="right" vertical="center" wrapText="1"/>
    </xf>
    <xf numFmtId="1" fontId="18" fillId="0" borderId="9" xfId="0" applyNumberFormat="1" applyFont="1" applyBorder="1" applyAlignment="1">
      <alignment vertical="center"/>
    </xf>
    <xf numFmtId="165" fontId="17" fillId="6" borderId="1" xfId="0" applyNumberFormat="1" applyFont="1" applyFill="1" applyBorder="1" applyAlignment="1">
      <alignment horizontal="left" vertical="center" wrapText="1"/>
    </xf>
    <xf numFmtId="165" fontId="9" fillId="3" borderId="2" xfId="0" applyNumberFormat="1" applyFont="1" applyFill="1" applyBorder="1" applyAlignment="1">
      <alignment vertical="center" wrapText="1"/>
    </xf>
    <xf numFmtId="165" fontId="1" fillId="5" borderId="13" xfId="0" applyNumberFormat="1" applyFont="1" applyFill="1" applyBorder="1" applyAlignment="1">
      <alignment horizontal="left" vertical="center" wrapText="1"/>
    </xf>
    <xf numFmtId="3" fontId="9" fillId="3" borderId="11" xfId="0" applyNumberFormat="1" applyFont="1" applyFill="1" applyBorder="1" applyAlignment="1">
      <alignment vertical="center" wrapText="1"/>
    </xf>
    <xf numFmtId="165" fontId="9" fillId="3" borderId="13" xfId="0" applyNumberFormat="1" applyFont="1" applyFill="1" applyBorder="1" applyAlignment="1">
      <alignment vertical="center" wrapText="1"/>
    </xf>
    <xf numFmtId="3" fontId="1" fillId="3" borderId="0" xfId="0" applyNumberFormat="1" applyFont="1" applyFill="1" applyBorder="1" applyAlignment="1">
      <alignment horizontal="left" vertical="center" wrapText="1"/>
    </xf>
    <xf numFmtId="164" fontId="17" fillId="3" borderId="0" xfId="0" applyNumberFormat="1" applyFont="1" applyFill="1" applyBorder="1" applyAlignment="1">
      <alignment vertical="center" wrapText="1"/>
    </xf>
    <xf numFmtId="165" fontId="9" fillId="3" borderId="3" xfId="0" applyNumberFormat="1" applyFont="1" applyFill="1" applyBorder="1" applyAlignment="1">
      <alignment vertical="center" wrapText="1"/>
    </xf>
    <xf numFmtId="3" fontId="9" fillId="0" borderId="2" xfId="0" applyNumberFormat="1" applyFont="1" applyFill="1" applyBorder="1" applyAlignment="1">
      <alignment vertical="center" wrapText="1"/>
    </xf>
    <xf numFmtId="3" fontId="1" fillId="3" borderId="11" xfId="0" applyNumberFormat="1" applyFont="1" applyFill="1" applyBorder="1" applyAlignment="1">
      <alignment vertical="center" wrapText="1"/>
    </xf>
    <xf numFmtId="3" fontId="1" fillId="3" borderId="3" xfId="0" applyNumberFormat="1" applyFont="1" applyFill="1" applyBorder="1" applyAlignment="1">
      <alignment vertical="center" wrapText="1"/>
    </xf>
    <xf numFmtId="165" fontId="17" fillId="0" borderId="0" xfId="0" applyNumberFormat="1" applyFont="1" applyBorder="1" applyAlignment="1">
      <alignment horizontal="left" vertical="center" wrapText="1"/>
    </xf>
    <xf numFmtId="0" fontId="4" fillId="2" borderId="15" xfId="0" applyFont="1" applyFill="1" applyBorder="1" applyAlignment="1">
      <alignment horizontal="right" vertical="center" wrapText="1"/>
    </xf>
    <xf numFmtId="0" fontId="4" fillId="0" borderId="15" xfId="0" applyFont="1" applyBorder="1" applyAlignment="1">
      <alignment horizontal="right" vertical="center" wrapText="1"/>
    </xf>
    <xf numFmtId="0" fontId="4" fillId="3" borderId="15" xfId="0" applyFont="1" applyFill="1" applyBorder="1" applyAlignment="1">
      <alignment horizontal="right" vertical="center" wrapText="1"/>
    </xf>
    <xf numFmtId="0" fontId="0" fillId="0" borderId="9" xfId="0" applyBorder="1"/>
    <xf numFmtId="0" fontId="4" fillId="4" borderId="9" xfId="0" applyFont="1" applyFill="1" applyBorder="1" applyAlignment="1">
      <alignment horizontal="right" vertical="center" wrapText="1"/>
    </xf>
    <xf numFmtId="0" fontId="4" fillId="0" borderId="9" xfId="0" applyFont="1" applyFill="1" applyBorder="1" applyAlignment="1">
      <alignment horizontal="right" vertical="center" wrapText="1"/>
    </xf>
    <xf numFmtId="0" fontId="4" fillId="6" borderId="9" xfId="0" applyFont="1" applyFill="1" applyBorder="1" applyAlignment="1">
      <alignment horizontal="right" vertical="center" wrapText="1"/>
    </xf>
    <xf numFmtId="0" fontId="6" fillId="0" borderId="0" xfId="0" applyFont="1" applyBorder="1" applyAlignment="1">
      <alignment horizontal="right" vertical="center" wrapText="1" readingOrder="2"/>
    </xf>
    <xf numFmtId="165" fontId="17" fillId="0" borderId="0" xfId="0" applyNumberFormat="1" applyFont="1" applyFill="1" applyBorder="1" applyAlignment="1">
      <alignment horizontal="left" vertical="center" wrapText="1"/>
    </xf>
    <xf numFmtId="165" fontId="17" fillId="6" borderId="0" xfId="0" applyNumberFormat="1" applyFont="1" applyFill="1" applyBorder="1" applyAlignment="1">
      <alignment horizontal="left" vertical="center" wrapText="1"/>
    </xf>
    <xf numFmtId="3" fontId="0" fillId="0" borderId="0" xfId="0" applyNumberFormat="1"/>
    <xf numFmtId="3" fontId="16" fillId="3" borderId="0" xfId="0" applyNumberFormat="1" applyFont="1" applyFill="1" applyBorder="1" applyAlignment="1">
      <alignment horizontal="left" vertical="center" wrapText="1"/>
    </xf>
    <xf numFmtId="3" fontId="16" fillId="3" borderId="0" xfId="0" applyNumberFormat="1" applyFont="1" applyFill="1" applyBorder="1" applyAlignment="1">
      <alignment vertical="center" wrapText="1"/>
    </xf>
    <xf numFmtId="165" fontId="16" fillId="3" borderId="0" xfId="0" applyNumberFormat="1" applyFont="1" applyFill="1" applyBorder="1" applyAlignment="1">
      <alignment vertical="center" wrapText="1"/>
    </xf>
    <xf numFmtId="165" fontId="9" fillId="0" borderId="3" xfId="0" applyNumberFormat="1" applyFont="1" applyFill="1" applyBorder="1" applyAlignment="1">
      <alignment horizontal="right" vertical="center"/>
    </xf>
    <xf numFmtId="165" fontId="9" fillId="0" borderId="13" xfId="0" applyNumberFormat="1" applyFont="1" applyFill="1" applyBorder="1" applyAlignment="1">
      <alignment horizontal="right" vertical="center"/>
    </xf>
    <xf numFmtId="164" fontId="9" fillId="0" borderId="3" xfId="0" applyNumberFormat="1" applyFont="1" applyBorder="1" applyAlignment="1">
      <alignment horizontal="left" vertical="center" wrapText="1"/>
    </xf>
    <xf numFmtId="164" fontId="9" fillId="0" borderId="13" xfId="0" applyNumberFormat="1" applyFont="1" applyBorder="1" applyAlignment="1">
      <alignment horizontal="left" vertical="center" wrapText="1"/>
    </xf>
    <xf numFmtId="0" fontId="19" fillId="0" borderId="1" xfId="0" applyFont="1" applyBorder="1" applyAlignment="1">
      <alignment vertical="center" wrapText="1"/>
    </xf>
    <xf numFmtId="0" fontId="20" fillId="4" borderId="4" xfId="0" applyFont="1" applyFill="1" applyBorder="1" applyAlignment="1">
      <alignment horizontal="right" vertical="center" wrapText="1"/>
    </xf>
    <xf numFmtId="165" fontId="9" fillId="0" borderId="2" xfId="0" applyNumberFormat="1" applyFont="1" applyBorder="1" applyAlignment="1">
      <alignment vertical="center" wrapText="1"/>
    </xf>
    <xf numFmtId="165" fontId="9" fillId="3" borderId="2" xfId="0" applyNumberFormat="1" applyFont="1" applyFill="1" applyBorder="1" applyAlignment="1">
      <alignment horizontal="left" vertical="center" wrapText="1"/>
    </xf>
    <xf numFmtId="165" fontId="9" fillId="0" borderId="3" xfId="0" applyNumberFormat="1" applyFont="1" applyBorder="1" applyAlignment="1">
      <alignment vertical="center" wrapText="1"/>
    </xf>
    <xf numFmtId="165" fontId="9" fillId="5" borderId="13" xfId="0" applyNumberFormat="1" applyFont="1" applyFill="1" applyBorder="1" applyAlignment="1">
      <alignment vertical="center" wrapText="1"/>
    </xf>
    <xf numFmtId="0" fontId="6" fillId="0" borderId="0" xfId="0" applyFont="1" applyBorder="1" applyAlignment="1">
      <alignment horizontal="right" vertical="center" readingOrder="2"/>
    </xf>
    <xf numFmtId="0" fontId="21" fillId="0" borderId="0" xfId="0" applyFont="1"/>
    <xf numFmtId="165" fontId="9" fillId="3" borderId="2" xfId="0" applyNumberFormat="1" applyFont="1" applyFill="1" applyBorder="1" applyAlignment="1">
      <alignment horizontal="right" vertical="center" wrapText="1"/>
    </xf>
    <xf numFmtId="165" fontId="9" fillId="3" borderId="11" xfId="0" applyNumberFormat="1"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11" xfId="0" applyFont="1" applyFill="1" applyBorder="1" applyAlignment="1">
      <alignment horizontal="left" vertical="center" wrapText="1"/>
    </xf>
    <xf numFmtId="165" fontId="21" fillId="0" borderId="0" xfId="0" applyNumberFormat="1" applyFont="1"/>
    <xf numFmtId="0" fontId="15" fillId="0" borderId="10" xfId="1" applyFont="1" applyBorder="1" applyAlignment="1">
      <alignment horizontal="right" vertical="center" wrapText="1"/>
    </xf>
    <xf numFmtId="0" fontId="15" fillId="0" borderId="2" xfId="1" applyFont="1" applyBorder="1" applyAlignment="1">
      <alignment horizontal="right" vertical="center" wrapText="1"/>
    </xf>
    <xf numFmtId="0" fontId="15" fillId="0" borderId="5" xfId="1" applyFont="1" applyBorder="1" applyAlignment="1">
      <alignment horizontal="right" vertical="center" wrapText="1"/>
    </xf>
    <xf numFmtId="0" fontId="5" fillId="0" borderId="0" xfId="0" applyFont="1" applyBorder="1" applyAlignment="1">
      <alignment horizontal="right" vertical="center" wrapText="1" readingOrder="2"/>
    </xf>
    <xf numFmtId="0" fontId="7" fillId="0" borderId="15" xfId="1" applyFont="1" applyBorder="1" applyAlignment="1">
      <alignment horizontal="center" vertical="center" wrapText="1"/>
    </xf>
    <xf numFmtId="0" fontId="15" fillId="0" borderId="10" xfId="1" applyFont="1" applyBorder="1" applyAlignment="1">
      <alignment horizontal="right" vertical="center" wrapText="1"/>
    </xf>
    <xf numFmtId="0" fontId="15" fillId="0" borderId="2" xfId="1" applyFont="1" applyBorder="1" applyAlignment="1">
      <alignment horizontal="right" vertical="center" wrapText="1"/>
    </xf>
    <xf numFmtId="0" fontId="3" fillId="0" borderId="0" xfId="1" applyFont="1" applyBorder="1" applyAlignment="1">
      <alignment horizontal="right" vertical="center" wrapText="1"/>
    </xf>
    <xf numFmtId="0" fontId="10" fillId="0" borderId="5" xfId="0" applyFont="1" applyBorder="1" applyAlignment="1">
      <alignment horizontal="center" vertical="center" wrapText="1"/>
    </xf>
    <xf numFmtId="3" fontId="1" fillId="0" borderId="2" xfId="0" applyNumberFormat="1" applyFont="1" applyBorder="1" applyAlignment="1">
      <alignment vertical="center" wrapText="1"/>
    </xf>
    <xf numFmtId="164" fontId="1" fillId="0" borderId="2" xfId="0" applyNumberFormat="1" applyFont="1" applyBorder="1" applyAlignment="1">
      <alignment vertical="center" wrapText="1"/>
    </xf>
    <xf numFmtId="3" fontId="1" fillId="0" borderId="3" xfId="0" applyNumberFormat="1" applyFont="1" applyBorder="1" applyAlignment="1">
      <alignment vertical="center" wrapText="1"/>
    </xf>
    <xf numFmtId="164" fontId="1" fillId="0" borderId="3" xfId="0" applyNumberFormat="1" applyFont="1" applyBorder="1" applyAlignment="1">
      <alignment vertical="center" wrapText="1"/>
    </xf>
    <xf numFmtId="164" fontId="1" fillId="0" borderId="13" xfId="0" applyNumberFormat="1" applyFont="1" applyBorder="1" applyAlignment="1">
      <alignment vertical="center" wrapText="1"/>
    </xf>
    <xf numFmtId="3" fontId="1" fillId="0" borderId="0" xfId="0" applyNumberFormat="1" applyFont="1" applyBorder="1" applyAlignment="1">
      <alignment vertical="center" wrapText="1"/>
    </xf>
    <xf numFmtId="164" fontId="1" fillId="0" borderId="0" xfId="0" applyNumberFormat="1" applyFont="1" applyBorder="1" applyAlignment="1">
      <alignment vertical="center" wrapText="1"/>
    </xf>
    <xf numFmtId="164" fontId="1" fillId="0" borderId="11" xfId="0" applyNumberFormat="1" applyFont="1" applyBorder="1" applyAlignment="1">
      <alignment vertical="center" wrapText="1"/>
    </xf>
    <xf numFmtId="3" fontId="1" fillId="0" borderId="13" xfId="0" applyNumberFormat="1" applyFont="1" applyBorder="1" applyAlignment="1">
      <alignment vertical="center" wrapText="1"/>
    </xf>
    <xf numFmtId="0" fontId="6" fillId="0" borderId="5" xfId="0" applyFont="1" applyBorder="1" applyAlignment="1">
      <alignment horizontal="right" vertical="center" wrapText="1"/>
    </xf>
    <xf numFmtId="0" fontId="10" fillId="0" borderId="5" xfId="0" applyFont="1" applyBorder="1" applyAlignment="1">
      <alignment horizontal="left" vertical="center" wrapText="1"/>
    </xf>
    <xf numFmtId="0" fontId="5" fillId="0" borderId="0" xfId="0" applyFont="1" applyBorder="1" applyAlignment="1">
      <alignment horizontal="right" vertical="center" wrapText="1" readingOrder="2"/>
    </xf>
    <xf numFmtId="0" fontId="7" fillId="0" borderId="0" xfId="0" applyFont="1" applyAlignment="1">
      <alignment horizontal="center" vertical="center" wrapText="1"/>
    </xf>
    <xf numFmtId="0" fontId="4" fillId="4" borderId="7" xfId="0" applyFont="1" applyFill="1" applyBorder="1" applyAlignment="1">
      <alignment horizontal="right" vertical="center" wrapText="1"/>
    </xf>
    <xf numFmtId="0" fontId="4" fillId="4" borderId="6" xfId="0" applyFont="1" applyFill="1" applyBorder="1" applyAlignment="1">
      <alignment horizontal="right" vertical="center" wrapText="1"/>
    </xf>
    <xf numFmtId="0" fontId="4"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9" xfId="0" applyBorder="1" applyAlignment="1">
      <alignment horizontal="center"/>
    </xf>
    <xf numFmtId="0" fontId="5" fillId="3" borderId="0" xfId="0" applyFont="1" applyFill="1" applyBorder="1" applyAlignment="1">
      <alignment horizontal="right" vertical="center" wrapText="1"/>
    </xf>
    <xf numFmtId="0" fontId="6" fillId="0" borderId="0" xfId="0" applyFont="1" applyBorder="1" applyAlignment="1">
      <alignment horizontal="right" vertical="center" wrapText="1" readingOrder="2"/>
    </xf>
    <xf numFmtId="0" fontId="3" fillId="0" borderId="0" xfId="0" applyFont="1" applyBorder="1" applyAlignment="1">
      <alignment vertical="center"/>
    </xf>
    <xf numFmtId="0" fontId="8" fillId="0" borderId="0" xfId="0" applyFont="1" applyAlignment="1">
      <alignment horizontal="center" vertical="center" wrapText="1"/>
    </xf>
    <xf numFmtId="0" fontId="4" fillId="4" borderId="7" xfId="0" applyFont="1" applyFill="1" applyBorder="1" applyAlignment="1">
      <alignment vertical="center" wrapText="1"/>
    </xf>
    <xf numFmtId="0" fontId="4" fillId="4" borderId="6" xfId="0" applyFont="1" applyFill="1" applyBorder="1" applyAlignment="1">
      <alignment vertical="center" wrapText="1"/>
    </xf>
    <xf numFmtId="0" fontId="4" fillId="4" borderId="12" xfId="0" applyFont="1" applyFill="1" applyBorder="1" applyAlignment="1">
      <alignment horizontal="center" vertical="center" wrapText="1"/>
    </xf>
    <xf numFmtId="0" fontId="3" fillId="0" borderId="0" xfId="0" applyFont="1" applyBorder="1" applyAlignment="1">
      <alignment horizontal="right" vertical="center" readingOrder="2"/>
    </xf>
    <xf numFmtId="0" fontId="15" fillId="4" borderId="4" xfId="1" applyFont="1" applyFill="1" applyBorder="1" applyAlignment="1">
      <alignment horizontal="right" vertical="center" wrapText="1"/>
    </xf>
    <xf numFmtId="0" fontId="15" fillId="0" borderId="5" xfId="1" applyFont="1" applyBorder="1" applyAlignment="1">
      <alignment horizontal="right" vertical="center" wrapText="1"/>
    </xf>
    <xf numFmtId="0" fontId="15" fillId="0" borderId="10" xfId="1" applyFont="1" applyBorder="1" applyAlignment="1">
      <alignment horizontal="right" vertical="center" wrapText="1"/>
    </xf>
    <xf numFmtId="0" fontId="15" fillId="0" borderId="2" xfId="1" applyFont="1" applyBorder="1" applyAlignment="1">
      <alignment horizontal="right" vertical="center" wrapText="1"/>
    </xf>
    <xf numFmtId="0" fontId="15" fillId="0" borderId="3" xfId="1" applyFont="1" applyBorder="1" applyAlignment="1">
      <alignment horizontal="right" vertical="center" wrapText="1"/>
    </xf>
    <xf numFmtId="0" fontId="15" fillId="4" borderId="4" xfId="1" applyFont="1" applyFill="1" applyBorder="1" applyAlignment="1">
      <alignment horizontal="center" vertical="center" wrapText="1"/>
    </xf>
    <xf numFmtId="0" fontId="15" fillId="0" borderId="2" xfId="1" applyFont="1" applyBorder="1" applyAlignment="1">
      <alignment vertical="center" wrapText="1"/>
    </xf>
  </cellXfs>
  <cellStyles count="8">
    <cellStyle name="Normal" xfId="0" builtinId="0"/>
    <cellStyle name="Normal 2" xfId="1"/>
    <cellStyle name="Normal 2 2" xfId="2"/>
    <cellStyle name="Normal 2 3" xfId="3"/>
    <cellStyle name="Normal 3" xfId="4"/>
    <cellStyle name="Normal 4" xfId="5"/>
    <cellStyle name="Normal 6" xfId="6"/>
    <cellStyle name="Percent 6"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31"/>
  <sheetViews>
    <sheetView rightToLeft="1" view="pageBreakPreview" topLeftCell="A16" zoomScaleSheetLayoutView="100" workbookViewId="0">
      <selection activeCell="M33" sqref="M33"/>
    </sheetView>
  </sheetViews>
  <sheetFormatPr defaultRowHeight="15" x14ac:dyDescent="0.25"/>
  <cols>
    <col min="1" max="1" width="12.7109375" customWidth="1"/>
    <col min="2" max="2" width="8.42578125" customWidth="1"/>
    <col min="3" max="3" width="11.42578125" style="8" customWidth="1"/>
    <col min="4" max="4" width="12.7109375" style="8" customWidth="1"/>
    <col min="5" max="5" width="13.42578125" style="8" customWidth="1"/>
    <col min="6" max="6" width="0.5703125" style="8" customWidth="1"/>
    <col min="7" max="7" width="10.5703125" style="8" customWidth="1"/>
    <col min="8" max="8" width="13.140625" style="8" customWidth="1"/>
    <col min="9" max="9" width="10.85546875" style="8" customWidth="1"/>
    <col min="10" max="10" width="0.7109375" style="8" customWidth="1"/>
    <col min="11" max="11" width="12.5703125" customWidth="1"/>
    <col min="12" max="12" width="13.7109375" style="8" customWidth="1"/>
    <col min="13" max="13" width="13.28515625" style="8" customWidth="1"/>
    <col min="14" max="14" width="2.42578125" customWidth="1"/>
  </cols>
  <sheetData>
    <row r="1" spans="1:13" ht="24" customHeight="1" x14ac:dyDescent="0.25">
      <c r="A1" s="186" t="s">
        <v>76</v>
      </c>
      <c r="B1" s="186"/>
      <c r="C1" s="186"/>
      <c r="D1" s="186"/>
      <c r="E1" s="186"/>
      <c r="F1" s="186"/>
      <c r="G1" s="186"/>
      <c r="H1" s="186"/>
      <c r="I1" s="186"/>
      <c r="J1" s="186"/>
      <c r="K1" s="186"/>
      <c r="L1" s="186"/>
      <c r="M1" s="186"/>
    </row>
    <row r="2" spans="1:13" ht="21" customHeight="1" thickBot="1" x14ac:dyDescent="0.3">
      <c r="A2" s="56" t="s">
        <v>59</v>
      </c>
      <c r="B2" s="56"/>
      <c r="C2" s="56"/>
      <c r="D2" s="56"/>
      <c r="E2" s="56"/>
      <c r="F2" s="56"/>
      <c r="G2" s="56"/>
      <c r="H2" s="56"/>
      <c r="I2" s="56"/>
      <c r="J2" s="56"/>
      <c r="K2" s="56"/>
      <c r="L2" s="56"/>
      <c r="M2" s="56"/>
    </row>
    <row r="3" spans="1:13" s="8" customFormat="1" ht="18" customHeight="1" thickTop="1" x14ac:dyDescent="0.25">
      <c r="A3" s="187" t="s">
        <v>0</v>
      </c>
      <c r="B3" s="187" t="s">
        <v>53</v>
      </c>
      <c r="C3" s="189" t="s">
        <v>49</v>
      </c>
      <c r="D3" s="189"/>
      <c r="E3" s="189"/>
      <c r="F3" s="189"/>
      <c r="G3" s="189" t="s">
        <v>77</v>
      </c>
      <c r="H3" s="189"/>
      <c r="I3" s="189"/>
      <c r="J3" s="187"/>
      <c r="K3" s="189" t="s">
        <v>51</v>
      </c>
      <c r="L3" s="189"/>
      <c r="M3" s="189"/>
    </row>
    <row r="4" spans="1:13" ht="38.25" customHeight="1" x14ac:dyDescent="0.25">
      <c r="A4" s="188"/>
      <c r="B4" s="188"/>
      <c r="C4" s="66" t="s">
        <v>52</v>
      </c>
      <c r="D4" s="66" t="s">
        <v>46</v>
      </c>
      <c r="E4" s="66" t="s">
        <v>50</v>
      </c>
      <c r="F4" s="190"/>
      <c r="G4" s="66" t="s">
        <v>52</v>
      </c>
      <c r="H4" s="66" t="s">
        <v>46</v>
      </c>
      <c r="I4" s="66" t="s">
        <v>50</v>
      </c>
      <c r="J4" s="188"/>
      <c r="K4" s="66" t="s">
        <v>22</v>
      </c>
      <c r="L4" s="66" t="s">
        <v>46</v>
      </c>
      <c r="M4" s="66" t="s">
        <v>50</v>
      </c>
    </row>
    <row r="5" spans="1:13" ht="21" customHeight="1" x14ac:dyDescent="0.25">
      <c r="A5" s="14" t="s">
        <v>1</v>
      </c>
      <c r="B5" s="82" t="s">
        <v>71</v>
      </c>
      <c r="C5" s="82" t="s">
        <v>71</v>
      </c>
      <c r="D5" s="82" t="s">
        <v>71</v>
      </c>
      <c r="E5" s="82" t="s">
        <v>71</v>
      </c>
      <c r="F5" s="82"/>
      <c r="G5" s="82" t="s">
        <v>71</v>
      </c>
      <c r="H5" s="82" t="s">
        <v>71</v>
      </c>
      <c r="I5" s="82" t="s">
        <v>71</v>
      </c>
      <c r="J5" s="82"/>
      <c r="K5" s="82" t="s">
        <v>71</v>
      </c>
      <c r="L5" s="82" t="s">
        <v>71</v>
      </c>
      <c r="M5" s="82" t="s">
        <v>71</v>
      </c>
    </row>
    <row r="6" spans="1:13" ht="21" customHeight="1" x14ac:dyDescent="0.25">
      <c r="A6" s="14" t="s">
        <v>2</v>
      </c>
      <c r="B6" s="47">
        <v>9</v>
      </c>
      <c r="C6" s="174">
        <v>1145443</v>
      </c>
      <c r="D6" s="175">
        <v>91.078997383545058</v>
      </c>
      <c r="E6" s="20">
        <f>D6*C6/100</f>
        <v>1043258</v>
      </c>
      <c r="F6" s="20"/>
      <c r="G6" s="61">
        <v>402769</v>
      </c>
      <c r="H6" s="175">
        <v>2.5466210160166249</v>
      </c>
      <c r="I6" s="174">
        <v>10257</v>
      </c>
      <c r="J6" s="17"/>
      <c r="K6" s="20">
        <v>1548212</v>
      </c>
      <c r="L6" s="175">
        <v>68.047205421479745</v>
      </c>
      <c r="M6" s="174">
        <v>1053515</v>
      </c>
    </row>
    <row r="7" spans="1:13" ht="21" customHeight="1" x14ac:dyDescent="0.25">
      <c r="A7" s="14" t="s">
        <v>3</v>
      </c>
      <c r="B7" s="47">
        <v>22</v>
      </c>
      <c r="C7" s="174">
        <v>781218</v>
      </c>
      <c r="D7" s="175">
        <v>72.307217703637136</v>
      </c>
      <c r="E7" s="20">
        <f>D7*C7/100</f>
        <v>564876.99999999988</v>
      </c>
      <c r="F7" s="20"/>
      <c r="G7" s="61">
        <v>803730</v>
      </c>
      <c r="H7" s="175">
        <v>5.5929229965286851</v>
      </c>
      <c r="I7" s="174">
        <v>44952</v>
      </c>
      <c r="J7" s="17"/>
      <c r="K7" s="20">
        <v>1584948</v>
      </c>
      <c r="L7" s="175">
        <v>38.476278086094936</v>
      </c>
      <c r="M7" s="174">
        <v>609829</v>
      </c>
    </row>
    <row r="8" spans="1:13" ht="21" customHeight="1" x14ac:dyDescent="0.25">
      <c r="A8" s="14" t="s">
        <v>24</v>
      </c>
      <c r="B8" s="83" t="s">
        <v>71</v>
      </c>
      <c r="C8" s="82" t="s">
        <v>71</v>
      </c>
      <c r="D8" s="111" t="s">
        <v>71</v>
      </c>
      <c r="E8" s="82" t="s">
        <v>71</v>
      </c>
      <c r="F8" s="82"/>
      <c r="G8" s="38" t="s">
        <v>71</v>
      </c>
      <c r="H8" s="82" t="s">
        <v>71</v>
      </c>
      <c r="I8" s="82" t="s">
        <v>71</v>
      </c>
      <c r="J8" s="17"/>
      <c r="K8" s="62" t="s">
        <v>71</v>
      </c>
      <c r="L8" s="62" t="s">
        <v>71</v>
      </c>
      <c r="M8" s="62" t="s">
        <v>71</v>
      </c>
    </row>
    <row r="9" spans="1:13" ht="21" customHeight="1" x14ac:dyDescent="0.25">
      <c r="A9" s="59" t="s">
        <v>98</v>
      </c>
      <c r="B9" s="108">
        <v>14</v>
      </c>
      <c r="C9" s="174">
        <v>5812075</v>
      </c>
      <c r="D9" s="175">
        <v>97.810110846814595</v>
      </c>
      <c r="E9" s="61">
        <f>D9*C9/100</f>
        <v>5684796.9999999991</v>
      </c>
      <c r="F9" s="61"/>
      <c r="G9" s="38">
        <v>0</v>
      </c>
      <c r="H9" s="175">
        <v>0</v>
      </c>
      <c r="I9" s="174">
        <v>0</v>
      </c>
      <c r="J9" s="60"/>
      <c r="K9" s="174">
        <v>5812075</v>
      </c>
      <c r="L9" s="175">
        <v>97.810110846814595</v>
      </c>
      <c r="M9" s="174">
        <v>5684796.9999999991</v>
      </c>
    </row>
    <row r="10" spans="1:13" ht="21" customHeight="1" x14ac:dyDescent="0.25">
      <c r="A10" s="14" t="s">
        <v>99</v>
      </c>
      <c r="B10" s="47">
        <v>16</v>
      </c>
      <c r="C10" s="174">
        <v>1083454</v>
      </c>
      <c r="D10" s="175">
        <v>62.548017728486862</v>
      </c>
      <c r="E10" s="61">
        <f t="shared" ref="E10:E20" si="0">D10*C10/100</f>
        <v>677679</v>
      </c>
      <c r="F10" s="61"/>
      <c r="G10" s="61">
        <v>982359</v>
      </c>
      <c r="H10" s="175">
        <v>9.0222617189846073</v>
      </c>
      <c r="I10" s="174">
        <v>88631</v>
      </c>
      <c r="J10" s="17"/>
      <c r="K10" s="174">
        <v>2065813</v>
      </c>
      <c r="L10" s="175">
        <v>37.094838690626887</v>
      </c>
      <c r="M10" s="174">
        <v>766310</v>
      </c>
    </row>
    <row r="11" spans="1:13" ht="21" customHeight="1" x14ac:dyDescent="0.25">
      <c r="A11" s="14" t="s">
        <v>7</v>
      </c>
      <c r="B11" s="47">
        <v>16</v>
      </c>
      <c r="C11" s="174">
        <v>966778</v>
      </c>
      <c r="D11" s="175">
        <v>54.096700586897924</v>
      </c>
      <c r="E11" s="61">
        <f t="shared" si="0"/>
        <v>522995</v>
      </c>
      <c r="F11" s="61"/>
      <c r="G11" s="61">
        <v>1032256</v>
      </c>
      <c r="H11" s="175">
        <v>1.3618714737429474</v>
      </c>
      <c r="I11" s="174">
        <v>14057.999999999998</v>
      </c>
      <c r="J11" s="17"/>
      <c r="K11" s="174">
        <v>1999034</v>
      </c>
      <c r="L11" s="175">
        <v>26.865626097405048</v>
      </c>
      <c r="M11" s="174">
        <v>537053</v>
      </c>
    </row>
    <row r="12" spans="1:13" ht="21" customHeight="1" x14ac:dyDescent="0.25">
      <c r="A12" s="14" t="s">
        <v>8</v>
      </c>
      <c r="B12" s="47">
        <v>7</v>
      </c>
      <c r="C12" s="174">
        <v>790261</v>
      </c>
      <c r="D12" s="175">
        <v>86.399683142657935</v>
      </c>
      <c r="E12" s="61">
        <f t="shared" si="0"/>
        <v>682783</v>
      </c>
      <c r="F12" s="61"/>
      <c r="G12" s="61">
        <v>390284</v>
      </c>
      <c r="H12" s="175">
        <v>25.229832634696781</v>
      </c>
      <c r="I12" s="174">
        <v>98467.999999999985</v>
      </c>
      <c r="J12" s="17"/>
      <c r="K12" s="174">
        <v>1180545</v>
      </c>
      <c r="L12" s="175">
        <v>66.177146995667258</v>
      </c>
      <c r="M12" s="174">
        <v>781251</v>
      </c>
    </row>
    <row r="13" spans="1:13" ht="21" customHeight="1" x14ac:dyDescent="0.25">
      <c r="A13" s="14" t="s">
        <v>9</v>
      </c>
      <c r="B13" s="47">
        <v>17</v>
      </c>
      <c r="C13" s="174">
        <v>804735</v>
      </c>
      <c r="D13" s="175">
        <v>93.912405947299391</v>
      </c>
      <c r="E13" s="61">
        <f t="shared" si="0"/>
        <v>755745.99999999965</v>
      </c>
      <c r="F13" s="61"/>
      <c r="G13" s="61">
        <v>530495</v>
      </c>
      <c r="H13" s="175">
        <v>1.3658941177579436</v>
      </c>
      <c r="I13" s="174">
        <v>7246.0000000000018</v>
      </c>
      <c r="J13" s="17"/>
      <c r="K13" s="174">
        <v>1335230</v>
      </c>
      <c r="L13" s="175">
        <v>57.143113920448144</v>
      </c>
      <c r="M13" s="174">
        <v>762991.99999999977</v>
      </c>
    </row>
    <row r="14" spans="1:13" ht="21" customHeight="1" x14ac:dyDescent="0.25">
      <c r="A14" s="14" t="s">
        <v>78</v>
      </c>
      <c r="B14" s="47">
        <v>12</v>
      </c>
      <c r="C14" s="174">
        <v>697620</v>
      </c>
      <c r="D14" s="175">
        <v>61.78248903414466</v>
      </c>
      <c r="E14" s="61">
        <f t="shared" si="0"/>
        <v>431007</v>
      </c>
      <c r="F14" s="82"/>
      <c r="G14" s="61">
        <v>846461</v>
      </c>
      <c r="H14" s="175">
        <v>9.2181447225566195</v>
      </c>
      <c r="I14" s="174">
        <v>78028</v>
      </c>
      <c r="J14" s="82"/>
      <c r="K14" s="174">
        <v>1544081</v>
      </c>
      <c r="L14" s="175">
        <v>32.966858603920393</v>
      </c>
      <c r="M14" s="174">
        <v>509035</v>
      </c>
    </row>
    <row r="15" spans="1:13" ht="21" customHeight="1" x14ac:dyDescent="0.25">
      <c r="A15" s="15" t="s">
        <v>11</v>
      </c>
      <c r="B15" s="17">
        <v>9</v>
      </c>
      <c r="C15" s="174">
        <v>1019235</v>
      </c>
      <c r="D15" s="175">
        <v>99.925532384582553</v>
      </c>
      <c r="E15" s="61">
        <f t="shared" si="0"/>
        <v>1018476</v>
      </c>
      <c r="F15" s="61"/>
      <c r="G15" s="61">
        <v>406488</v>
      </c>
      <c r="H15" s="175">
        <v>9.7038534962901739</v>
      </c>
      <c r="I15" s="174">
        <v>39445</v>
      </c>
      <c r="J15" s="17"/>
      <c r="K15" s="174">
        <v>1425723</v>
      </c>
      <c r="L15" s="175">
        <v>74.2024222096438</v>
      </c>
      <c r="M15" s="174">
        <v>1057921</v>
      </c>
    </row>
    <row r="16" spans="1:13" ht="21" customHeight="1" x14ac:dyDescent="0.25">
      <c r="A16" s="15" t="s">
        <v>12</v>
      </c>
      <c r="B16" s="17">
        <v>15</v>
      </c>
      <c r="C16" s="174">
        <v>717263</v>
      </c>
      <c r="D16" s="175">
        <v>84.558523163748845</v>
      </c>
      <c r="E16" s="61">
        <f t="shared" si="0"/>
        <v>606506.99999999988</v>
      </c>
      <c r="F16" s="61"/>
      <c r="G16" s="61">
        <v>532903</v>
      </c>
      <c r="H16" s="175">
        <v>5.2525506518071774</v>
      </c>
      <c r="I16" s="174">
        <v>27991</v>
      </c>
      <c r="J16" s="17"/>
      <c r="K16" s="174">
        <v>1250166</v>
      </c>
      <c r="L16" s="175">
        <v>50.753099988321537</v>
      </c>
      <c r="M16" s="174">
        <v>634497.99999999988</v>
      </c>
    </row>
    <row r="17" spans="1:13" ht="21" customHeight="1" x14ac:dyDescent="0.25">
      <c r="A17" s="15" t="s">
        <v>13</v>
      </c>
      <c r="B17" s="17">
        <v>11</v>
      </c>
      <c r="C17" s="174">
        <v>358668</v>
      </c>
      <c r="D17" s="175">
        <v>99.703625637079412</v>
      </c>
      <c r="E17" s="61">
        <f t="shared" si="0"/>
        <v>357605</v>
      </c>
      <c r="F17" s="61"/>
      <c r="G17" s="61">
        <v>429594</v>
      </c>
      <c r="H17" s="175">
        <v>4.8382891753609218</v>
      </c>
      <c r="I17" s="174">
        <v>20785</v>
      </c>
      <c r="J17" s="17"/>
      <c r="K17" s="174">
        <v>788262</v>
      </c>
      <c r="L17" s="175">
        <v>48.003075119693705</v>
      </c>
      <c r="M17" s="174">
        <v>378390</v>
      </c>
    </row>
    <row r="18" spans="1:13" ht="21" customHeight="1" x14ac:dyDescent="0.25">
      <c r="A18" s="15" t="s">
        <v>14</v>
      </c>
      <c r="B18" s="17">
        <v>20</v>
      </c>
      <c r="C18" s="174">
        <v>1304195</v>
      </c>
      <c r="D18" s="175">
        <v>85.739172439704177</v>
      </c>
      <c r="E18" s="61">
        <f t="shared" si="0"/>
        <v>1118205.9999999998</v>
      </c>
      <c r="F18" s="61"/>
      <c r="G18" s="61">
        <v>725150</v>
      </c>
      <c r="H18" s="175">
        <v>9.3015238226573782</v>
      </c>
      <c r="I18" s="174">
        <v>67449.999999999985</v>
      </c>
      <c r="J18" s="17"/>
      <c r="K18" s="174">
        <v>2029345</v>
      </c>
      <c r="L18" s="175">
        <v>58.425551101463768</v>
      </c>
      <c r="M18" s="174">
        <v>1185656</v>
      </c>
    </row>
    <row r="19" spans="1:13" ht="21" customHeight="1" x14ac:dyDescent="0.25">
      <c r="A19" s="15" t="s">
        <v>15</v>
      </c>
      <c r="B19" s="17">
        <v>15</v>
      </c>
      <c r="C19" s="174">
        <v>797041</v>
      </c>
      <c r="D19" s="175">
        <v>99.053248201786346</v>
      </c>
      <c r="E19" s="61">
        <f t="shared" si="0"/>
        <v>789494.99999999988</v>
      </c>
      <c r="F19" s="61"/>
      <c r="G19" s="61">
        <v>281045</v>
      </c>
      <c r="H19" s="175">
        <v>3.4211603124054863</v>
      </c>
      <c r="I19" s="174">
        <v>9615</v>
      </c>
      <c r="J19" s="17"/>
      <c r="K19" s="174">
        <v>1078086</v>
      </c>
      <c r="L19" s="175">
        <v>74.123029146097792</v>
      </c>
      <c r="M19" s="174">
        <v>799109.99999999988</v>
      </c>
    </row>
    <row r="20" spans="1:13" ht="21" customHeight="1" thickBot="1" x14ac:dyDescent="0.3">
      <c r="A20" s="16" t="s">
        <v>16</v>
      </c>
      <c r="B20" s="18">
        <v>15</v>
      </c>
      <c r="C20" s="176">
        <v>2290802</v>
      </c>
      <c r="D20" s="177">
        <v>77.734828239193092</v>
      </c>
      <c r="E20" s="61">
        <f t="shared" si="0"/>
        <v>1780751</v>
      </c>
      <c r="F20" s="93"/>
      <c r="G20" s="61">
        <v>528002</v>
      </c>
      <c r="H20" s="177">
        <v>32.457452812678738</v>
      </c>
      <c r="I20" s="176">
        <v>171376</v>
      </c>
      <c r="J20" s="18"/>
      <c r="K20" s="174">
        <v>2818804</v>
      </c>
      <c r="L20" s="177">
        <v>69.253733143560183</v>
      </c>
      <c r="M20" s="174">
        <v>1952127.0000000002</v>
      </c>
    </row>
    <row r="21" spans="1:13" ht="21" customHeight="1" thickTop="1" thickBot="1" x14ac:dyDescent="0.3">
      <c r="A21" s="85" t="s">
        <v>43</v>
      </c>
      <c r="B21" s="86">
        <f>SUM(B5:B20)</f>
        <v>198</v>
      </c>
      <c r="C21" s="87">
        <f>SUM(C6:C20)</f>
        <v>18568788</v>
      </c>
      <c r="D21" s="178">
        <v>86.350180744160582</v>
      </c>
      <c r="E21" s="87">
        <f>SUM(E5:E20)</f>
        <v>16034182</v>
      </c>
      <c r="F21" s="87"/>
      <c r="G21" s="109">
        <f>SUM(G6:G20)</f>
        <v>7891536</v>
      </c>
      <c r="H21" s="178">
        <v>8.5953102159072703</v>
      </c>
      <c r="I21" s="87">
        <f>SUM(I6:I20)</f>
        <v>678302</v>
      </c>
      <c r="J21" s="86"/>
      <c r="K21" s="87">
        <f>SUM(K5:K20)</f>
        <v>26460324</v>
      </c>
      <c r="L21" s="178">
        <v>63.160541798354394</v>
      </c>
      <c r="M21" s="87">
        <f>SUM(M6:M20)</f>
        <v>16712484</v>
      </c>
    </row>
    <row r="22" spans="1:13" s="8" customFormat="1" ht="21" customHeight="1" thickTop="1" thickBot="1" x14ac:dyDescent="0.3">
      <c r="A22" s="74" t="s">
        <v>72</v>
      </c>
      <c r="B22" s="75"/>
      <c r="C22" s="76"/>
      <c r="D22" s="110"/>
      <c r="E22" s="76"/>
      <c r="F22" s="76"/>
      <c r="G22" s="77"/>
      <c r="H22" s="76"/>
      <c r="I22" s="76"/>
      <c r="J22" s="75"/>
      <c r="K22" s="76"/>
      <c r="L22" s="79"/>
      <c r="M22" s="76"/>
    </row>
    <row r="23" spans="1:13" s="8" customFormat="1" ht="21" customHeight="1" thickTop="1" x14ac:dyDescent="0.25">
      <c r="A23" s="88" t="s">
        <v>79</v>
      </c>
      <c r="B23" s="89">
        <v>39</v>
      </c>
      <c r="C23" s="179">
        <v>928227</v>
      </c>
      <c r="D23" s="180">
        <v>99.337877480400806</v>
      </c>
      <c r="E23" s="61">
        <f t="shared" ref="E23:E27" si="1">D23*C23/100</f>
        <v>922081</v>
      </c>
      <c r="F23" s="91"/>
      <c r="G23" s="61">
        <v>324116</v>
      </c>
      <c r="H23" s="180">
        <v>42.10992360759726</v>
      </c>
      <c r="I23" s="179">
        <v>136484.99999999994</v>
      </c>
      <c r="J23" s="89"/>
      <c r="K23" s="90">
        <f>C23+G23</f>
        <v>1252343</v>
      </c>
      <c r="L23" s="181">
        <v>84.526842885695046</v>
      </c>
      <c r="M23" s="174">
        <v>1058566</v>
      </c>
    </row>
    <row r="24" spans="1:13" s="8" customFormat="1" ht="21" customHeight="1" x14ac:dyDescent="0.25">
      <c r="A24" s="15" t="s">
        <v>80</v>
      </c>
      <c r="B24" s="17">
        <v>70</v>
      </c>
      <c r="C24" s="174">
        <v>1776789</v>
      </c>
      <c r="D24" s="175">
        <v>96.390117228325906</v>
      </c>
      <c r="E24" s="61">
        <f t="shared" si="1"/>
        <v>1712648.9999999998</v>
      </c>
      <c r="F24" s="61"/>
      <c r="G24" s="61">
        <v>319062</v>
      </c>
      <c r="H24" s="175">
        <v>35.064971698290613</v>
      </c>
      <c r="I24" s="174">
        <v>111879</v>
      </c>
      <c r="J24" s="17"/>
      <c r="K24" s="90">
        <f>C24+G24</f>
        <v>2095851</v>
      </c>
      <c r="L24" s="181">
        <v>87.054280099110088</v>
      </c>
      <c r="M24" s="174">
        <v>1824527.9999999998</v>
      </c>
    </row>
    <row r="25" spans="1:13" s="8" customFormat="1" ht="21" customHeight="1" thickBot="1" x14ac:dyDescent="0.3">
      <c r="A25" s="16" t="s">
        <v>81</v>
      </c>
      <c r="B25" s="18">
        <v>62</v>
      </c>
      <c r="C25" s="179">
        <v>1497461</v>
      </c>
      <c r="D25" s="180">
        <v>97.529685247228528</v>
      </c>
      <c r="E25" s="93">
        <f t="shared" si="1"/>
        <v>1460469.0000000009</v>
      </c>
      <c r="F25" s="93"/>
      <c r="G25" s="61">
        <v>300247</v>
      </c>
      <c r="H25" s="180">
        <v>44.429086718601674</v>
      </c>
      <c r="I25" s="179">
        <v>133396.99999999997</v>
      </c>
      <c r="J25" s="18"/>
      <c r="K25" s="90">
        <f>C25+G25</f>
        <v>1797708</v>
      </c>
      <c r="L25" s="180">
        <v>88.661006125577728</v>
      </c>
      <c r="M25" s="174">
        <v>1593866.0000000007</v>
      </c>
    </row>
    <row r="26" spans="1:13" s="8" customFormat="1" ht="21" customHeight="1" thickTop="1" thickBot="1" x14ac:dyDescent="0.3">
      <c r="A26" s="85" t="s">
        <v>43</v>
      </c>
      <c r="B26" s="86">
        <f>SUM(B23:B25)</f>
        <v>171</v>
      </c>
      <c r="C26" s="87">
        <f>SUM(C23:C25)</f>
        <v>4202477</v>
      </c>
      <c r="D26" s="178">
        <v>97.447267409197025</v>
      </c>
      <c r="E26" s="92">
        <f t="shared" si="1"/>
        <v>4095199.0000000005</v>
      </c>
      <c r="F26" s="92"/>
      <c r="G26" s="87">
        <f>SUM(G23:G25)</f>
        <v>943425</v>
      </c>
      <c r="H26" s="178">
        <v>40.465431804329953</v>
      </c>
      <c r="I26" s="182">
        <f>SUM(I23:I25)</f>
        <v>381760.99999999988</v>
      </c>
      <c r="J26" s="86"/>
      <c r="K26" s="92">
        <f>C26+G26</f>
        <v>5145902</v>
      </c>
      <c r="L26" s="178">
        <v>87.000490876040786</v>
      </c>
      <c r="M26" s="87">
        <f>SUM(M23:M25)</f>
        <v>4476960.0000000009</v>
      </c>
    </row>
    <row r="27" spans="1:13" ht="21" customHeight="1" thickTop="1" thickBot="1" x14ac:dyDescent="0.3">
      <c r="A27" s="74" t="s">
        <v>73</v>
      </c>
      <c r="B27" s="75">
        <f>B21+B26</f>
        <v>369</v>
      </c>
      <c r="C27" s="95">
        <f>C21+C26</f>
        <v>22771265</v>
      </c>
      <c r="D27" s="110">
        <v>88.398167602897772</v>
      </c>
      <c r="E27" s="76">
        <f t="shared" si="1"/>
        <v>20129381</v>
      </c>
      <c r="F27" s="94"/>
      <c r="G27" s="95">
        <f>G21+G26</f>
        <v>8834961</v>
      </c>
      <c r="H27" s="110">
        <v>11.998502313705742</v>
      </c>
      <c r="I27" s="76">
        <f t="shared" ref="I27" si="2">I21+I26</f>
        <v>1060063</v>
      </c>
      <c r="J27" s="76"/>
      <c r="K27" s="76">
        <f>C27+G27</f>
        <v>31606226</v>
      </c>
      <c r="L27" s="110">
        <v>67.041993561648255</v>
      </c>
      <c r="M27" s="76">
        <f>M21+M26</f>
        <v>21189444</v>
      </c>
    </row>
    <row r="28" spans="1:13" s="8" customFormat="1" ht="14.25" customHeight="1" thickTop="1" x14ac:dyDescent="0.25">
      <c r="A28" s="185" t="s">
        <v>56</v>
      </c>
      <c r="B28" s="185"/>
      <c r="C28" s="185"/>
      <c r="D28" s="185"/>
      <c r="E28" s="63"/>
      <c r="F28" s="9"/>
      <c r="G28" s="126"/>
      <c r="H28" s="127"/>
      <c r="I28" s="63"/>
      <c r="J28" s="63"/>
      <c r="K28" s="63"/>
      <c r="L28" s="127"/>
      <c r="M28" s="63"/>
    </row>
    <row r="29" spans="1:13" ht="15" customHeight="1" x14ac:dyDescent="0.25">
      <c r="A29" s="185" t="s">
        <v>23</v>
      </c>
      <c r="B29" s="185"/>
      <c r="C29" s="185"/>
      <c r="D29" s="185"/>
      <c r="E29" s="185"/>
      <c r="F29" s="185"/>
      <c r="G29" s="185"/>
      <c r="H29" s="185"/>
      <c r="I29" s="185"/>
      <c r="J29" s="185"/>
      <c r="K29" s="185"/>
      <c r="L29" s="51"/>
      <c r="M29" s="51"/>
    </row>
    <row r="30" spans="1:13" s="8" customFormat="1" ht="16.5" customHeight="1" x14ac:dyDescent="0.25">
      <c r="A30" s="185" t="s">
        <v>82</v>
      </c>
      <c r="B30" s="185"/>
      <c r="C30" s="185"/>
      <c r="D30" s="185"/>
      <c r="E30" s="185"/>
      <c r="F30" s="185"/>
      <c r="G30" s="185"/>
      <c r="H30" s="185"/>
      <c r="I30" s="185"/>
      <c r="J30" s="185"/>
      <c r="K30" s="185"/>
      <c r="L30" s="84"/>
      <c r="M30" s="84"/>
    </row>
    <row r="31" spans="1:13" ht="14.25" customHeight="1" x14ac:dyDescent="0.25">
      <c r="A31" s="183" t="s">
        <v>55</v>
      </c>
      <c r="B31" s="183"/>
      <c r="C31" s="183"/>
      <c r="D31" s="184">
        <v>83</v>
      </c>
      <c r="E31" s="184"/>
      <c r="F31" s="184"/>
      <c r="G31" s="184"/>
      <c r="H31" s="184"/>
      <c r="I31" s="184"/>
      <c r="J31" s="184"/>
      <c r="K31" s="184"/>
      <c r="L31" s="184"/>
      <c r="M31" s="184"/>
    </row>
  </sheetData>
  <mergeCells count="13">
    <mergeCell ref="A31:C31"/>
    <mergeCell ref="D31:M31"/>
    <mergeCell ref="A30:K30"/>
    <mergeCell ref="A1:M1"/>
    <mergeCell ref="A3:A4"/>
    <mergeCell ref="B3:B4"/>
    <mergeCell ref="C3:E3"/>
    <mergeCell ref="J3:J4"/>
    <mergeCell ref="K3:M3"/>
    <mergeCell ref="A29:K29"/>
    <mergeCell ref="F3:F4"/>
    <mergeCell ref="G3:I3"/>
    <mergeCell ref="A28:D28"/>
  </mergeCells>
  <printOptions horizontalCentered="1"/>
  <pageMargins left="0.51181102362204722" right="0.51181102362204722" top="0.59055118110236227" bottom="0.19685039370078741"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S63"/>
  <sheetViews>
    <sheetView rightToLeft="1" view="pageBreakPreview" topLeftCell="A13" zoomScaleSheetLayoutView="100" workbookViewId="0">
      <selection activeCell="D25" sqref="D25"/>
    </sheetView>
  </sheetViews>
  <sheetFormatPr defaultRowHeight="15" x14ac:dyDescent="0.25"/>
  <cols>
    <col min="1" max="1" width="15.5703125" customWidth="1"/>
    <col min="2" max="2" width="10.85546875" customWidth="1"/>
    <col min="3" max="3" width="13.85546875" customWidth="1"/>
    <col min="4" max="4" width="14.85546875" style="158" customWidth="1"/>
    <col min="5" max="5" width="14.5703125" customWidth="1"/>
    <col min="6" max="6" width="14.42578125" customWidth="1"/>
    <col min="7" max="7" width="16" customWidth="1"/>
    <col min="8" max="8" width="3" style="8" customWidth="1"/>
    <col min="9" max="14" width="10.5703125" style="8" customWidth="1"/>
    <col min="15" max="15" width="11.85546875" style="8" customWidth="1"/>
    <col min="16" max="16" width="10.5703125" style="8" customWidth="1"/>
    <col min="17" max="17" width="12.42578125" style="8" customWidth="1"/>
    <col min="18" max="18" width="9.42578125" style="8" customWidth="1"/>
    <col min="19" max="19" width="11.5703125" style="8" customWidth="1"/>
    <col min="20" max="20" width="3" customWidth="1"/>
  </cols>
  <sheetData>
    <row r="1" spans="1:19" ht="22.5" customHeight="1" x14ac:dyDescent="0.25">
      <c r="A1" s="186" t="s">
        <v>105</v>
      </c>
      <c r="B1" s="186"/>
      <c r="C1" s="186"/>
      <c r="D1" s="186"/>
      <c r="E1" s="186"/>
      <c r="F1" s="186"/>
      <c r="G1" s="186"/>
      <c r="Q1" s="40"/>
      <c r="R1" s="11"/>
      <c r="S1" s="12"/>
    </row>
    <row r="2" spans="1:19" ht="22.5" customHeight="1" thickBot="1" x14ac:dyDescent="0.3">
      <c r="A2" s="56" t="s">
        <v>60</v>
      </c>
      <c r="B2" s="56"/>
      <c r="C2" s="56"/>
      <c r="D2" s="151"/>
      <c r="E2" s="56"/>
      <c r="F2" s="56"/>
      <c r="G2" s="56"/>
      <c r="J2" s="193" t="s">
        <v>91</v>
      </c>
      <c r="K2" s="194"/>
      <c r="L2" s="193" t="s">
        <v>92</v>
      </c>
      <c r="M2" s="194"/>
      <c r="N2" s="195" t="s">
        <v>93</v>
      </c>
      <c r="O2" s="195"/>
      <c r="P2" s="132"/>
      <c r="Q2" s="191">
        <v>2014</v>
      </c>
      <c r="R2" s="191"/>
      <c r="S2" s="191"/>
    </row>
    <row r="3" spans="1:19" ht="43.5" customHeight="1" thickTop="1" x14ac:dyDescent="0.25">
      <c r="A3" s="64" t="s">
        <v>0</v>
      </c>
      <c r="B3" s="64" t="s">
        <v>20</v>
      </c>
      <c r="C3" s="64" t="s">
        <v>106</v>
      </c>
      <c r="D3" s="152" t="s">
        <v>107</v>
      </c>
      <c r="E3" s="64" t="s">
        <v>34</v>
      </c>
      <c r="F3" s="64" t="s">
        <v>45</v>
      </c>
      <c r="G3" s="64" t="s">
        <v>29</v>
      </c>
      <c r="I3" s="136"/>
      <c r="J3" s="137" t="s">
        <v>89</v>
      </c>
      <c r="K3" s="137" t="s">
        <v>90</v>
      </c>
      <c r="L3" s="137" t="s">
        <v>89</v>
      </c>
      <c r="M3" s="137" t="s">
        <v>90</v>
      </c>
      <c r="N3" s="137" t="s">
        <v>89</v>
      </c>
      <c r="O3" s="137" t="s">
        <v>90</v>
      </c>
      <c r="P3" s="132"/>
      <c r="Q3" s="133" t="s">
        <v>0</v>
      </c>
      <c r="R3" s="53" t="s">
        <v>38</v>
      </c>
      <c r="S3" s="53" t="s">
        <v>39</v>
      </c>
    </row>
    <row r="4" spans="1:19" ht="21" customHeight="1" x14ac:dyDescent="0.25">
      <c r="A4" s="15" t="s">
        <v>1</v>
      </c>
      <c r="B4" s="82" t="s">
        <v>71</v>
      </c>
      <c r="C4" s="83" t="s">
        <v>71</v>
      </c>
      <c r="D4" s="83" t="s">
        <v>71</v>
      </c>
      <c r="E4" s="83" t="s">
        <v>71</v>
      </c>
      <c r="F4" s="83" t="s">
        <v>71</v>
      </c>
      <c r="G4" s="83" t="s">
        <v>71</v>
      </c>
      <c r="I4" s="54" t="s">
        <v>2</v>
      </c>
      <c r="J4" s="113">
        <v>1011.9000000000001</v>
      </c>
      <c r="K4" s="136">
        <f>1011.9*365</f>
        <v>369343.5</v>
      </c>
      <c r="L4" s="113">
        <v>20.539999999999996</v>
      </c>
      <c r="M4" s="113">
        <f>20.5*365</f>
        <v>7482.5</v>
      </c>
      <c r="N4" s="113">
        <v>0.94799999999999995</v>
      </c>
      <c r="O4" s="113">
        <f>0.9*365</f>
        <v>328.5</v>
      </c>
      <c r="P4" s="132"/>
      <c r="Q4" s="134" t="s">
        <v>1</v>
      </c>
      <c r="R4" s="13"/>
      <c r="S4" s="13">
        <f>R4*1.6</f>
        <v>0</v>
      </c>
    </row>
    <row r="5" spans="1:19" ht="21" customHeight="1" x14ac:dyDescent="0.25">
      <c r="A5" s="15" t="s">
        <v>2</v>
      </c>
      <c r="B5" s="47">
        <v>9</v>
      </c>
      <c r="C5" s="122">
        <f>1011.9*365</f>
        <v>369343.5</v>
      </c>
      <c r="D5" s="122">
        <v>7482.5</v>
      </c>
      <c r="E5" s="122">
        <f>0.9*365</f>
        <v>328.5</v>
      </c>
      <c r="F5" s="38">
        <f>C5+D5+E5</f>
        <v>377154.5</v>
      </c>
      <c r="G5" s="122">
        <f>F5/365</f>
        <v>1033.3</v>
      </c>
      <c r="I5" s="54" t="s">
        <v>3</v>
      </c>
      <c r="J5" s="113">
        <v>883.65300000000002</v>
      </c>
      <c r="K5" s="136">
        <f>883.7*365</f>
        <v>322550.5</v>
      </c>
      <c r="L5" s="113">
        <v>71.885999999999996</v>
      </c>
      <c r="M5" s="113">
        <f>71.9*365</f>
        <v>26243.500000000004</v>
      </c>
      <c r="N5" s="113">
        <v>15.112000000000002</v>
      </c>
      <c r="O5" s="113">
        <f>15.1*365</f>
        <v>5511.5</v>
      </c>
      <c r="P5" s="132"/>
      <c r="Q5" s="134" t="s">
        <v>2</v>
      </c>
      <c r="R5" s="13"/>
      <c r="S5" s="13">
        <f t="shared" ref="S5:S19" si="0">R5*1.6</f>
        <v>0</v>
      </c>
    </row>
    <row r="6" spans="1:19" ht="21" customHeight="1" x14ac:dyDescent="0.25">
      <c r="A6" s="15" t="s">
        <v>3</v>
      </c>
      <c r="B6" s="47">
        <v>22</v>
      </c>
      <c r="C6" s="122">
        <f>883.7*365</f>
        <v>322550.5</v>
      </c>
      <c r="D6" s="122">
        <v>26243.500000000004</v>
      </c>
      <c r="E6" s="122">
        <f>15.1*365</f>
        <v>5511.5</v>
      </c>
      <c r="F6" s="38">
        <f t="shared" ref="F6:F25" si="1">C6+D6+E6</f>
        <v>354305.5</v>
      </c>
      <c r="G6" s="122">
        <f>F6/365</f>
        <v>970.7</v>
      </c>
      <c r="I6" s="54" t="s">
        <v>83</v>
      </c>
      <c r="J6" s="113">
        <v>9577.6699999999983</v>
      </c>
      <c r="K6" s="136">
        <f>9577.7*365</f>
        <v>3495860.5000000005</v>
      </c>
      <c r="L6" s="113">
        <v>1599.6999999999998</v>
      </c>
      <c r="M6" s="113">
        <f>1599.7*365</f>
        <v>583890.5</v>
      </c>
      <c r="N6" s="113">
        <v>105.48400000000002</v>
      </c>
      <c r="O6" s="113">
        <f>105.5*365</f>
        <v>38507.5</v>
      </c>
      <c r="P6" s="132"/>
      <c r="Q6" s="134" t="s">
        <v>3</v>
      </c>
      <c r="R6" s="13"/>
      <c r="S6" s="13">
        <f t="shared" si="0"/>
        <v>0</v>
      </c>
    </row>
    <row r="7" spans="1:19" ht="21" customHeight="1" x14ac:dyDescent="0.25">
      <c r="A7" s="15" t="s">
        <v>24</v>
      </c>
      <c r="B7" s="83" t="s">
        <v>71</v>
      </c>
      <c r="C7" s="122" t="s">
        <v>71</v>
      </c>
      <c r="D7" s="122" t="s">
        <v>71</v>
      </c>
      <c r="E7" s="122" t="s">
        <v>71</v>
      </c>
      <c r="F7" s="83" t="s">
        <v>71</v>
      </c>
      <c r="G7" s="159" t="s">
        <v>71</v>
      </c>
      <c r="I7" s="54" t="s">
        <v>84</v>
      </c>
      <c r="J7" s="113">
        <v>838.38</v>
      </c>
      <c r="K7" s="136">
        <f>838.4*365</f>
        <v>306016</v>
      </c>
      <c r="L7" s="113">
        <v>41.1</v>
      </c>
      <c r="M7" s="113">
        <f>41.1*365</f>
        <v>15001.5</v>
      </c>
      <c r="N7" s="113">
        <v>0.65999999999999992</v>
      </c>
      <c r="O7" s="113">
        <f>0.7*365</f>
        <v>255.49999999999997</v>
      </c>
      <c r="P7" s="132"/>
      <c r="Q7" s="134" t="s">
        <v>4</v>
      </c>
      <c r="R7" s="13"/>
      <c r="S7" s="13">
        <f t="shared" si="0"/>
        <v>0</v>
      </c>
    </row>
    <row r="8" spans="1:19" s="19" customFormat="1" ht="21" customHeight="1" x14ac:dyDescent="0.25">
      <c r="A8" s="59" t="s">
        <v>98</v>
      </c>
      <c r="B8" s="108">
        <v>14</v>
      </c>
      <c r="C8" s="122">
        <f>9577.7*365</f>
        <v>3495860.5000000005</v>
      </c>
      <c r="D8" s="122">
        <v>583890.5</v>
      </c>
      <c r="E8" s="122">
        <f>105.5*365</f>
        <v>38507.5</v>
      </c>
      <c r="F8" s="38">
        <f t="shared" si="1"/>
        <v>4118258.5000000005</v>
      </c>
      <c r="G8" s="122">
        <f>F8/365</f>
        <v>11282.900000000001</v>
      </c>
      <c r="I8" s="54" t="s">
        <v>7</v>
      </c>
      <c r="J8" s="113">
        <v>710.13199999999995</v>
      </c>
      <c r="K8" s="136">
        <f>710.1*365</f>
        <v>259186.5</v>
      </c>
      <c r="L8" s="113">
        <v>200.47800000000001</v>
      </c>
      <c r="M8" s="113">
        <f>200.5*365</f>
        <v>73182.5</v>
      </c>
      <c r="N8" s="113">
        <v>40.86699999999999</v>
      </c>
      <c r="O8" s="113">
        <f>40.9*365</f>
        <v>14928.5</v>
      </c>
      <c r="P8" s="132"/>
      <c r="Q8" s="135" t="s">
        <v>5</v>
      </c>
      <c r="R8" s="13"/>
      <c r="S8" s="13">
        <f t="shared" si="0"/>
        <v>0</v>
      </c>
    </row>
    <row r="9" spans="1:19" ht="21" customHeight="1" x14ac:dyDescent="0.25">
      <c r="A9" s="14" t="s">
        <v>99</v>
      </c>
      <c r="B9" s="47">
        <v>16</v>
      </c>
      <c r="C9" s="153">
        <f>838.4*365</f>
        <v>306016</v>
      </c>
      <c r="D9" s="153">
        <v>15001.5</v>
      </c>
      <c r="E9" s="153">
        <f>0.7*365</f>
        <v>255.49999999999997</v>
      </c>
      <c r="F9" s="38">
        <f t="shared" si="1"/>
        <v>321273</v>
      </c>
      <c r="G9" s="122">
        <f t="shared" ref="G9:G19" si="2">F9/365</f>
        <v>880.2</v>
      </c>
      <c r="I9" s="54" t="s">
        <v>8</v>
      </c>
      <c r="J9" s="113">
        <v>944.00000000000011</v>
      </c>
      <c r="K9" s="136">
        <f>944*365</f>
        <v>344560</v>
      </c>
      <c r="L9" s="113">
        <v>587</v>
      </c>
      <c r="M9" s="113">
        <f>587*365</f>
        <v>214255</v>
      </c>
      <c r="N9" s="113">
        <v>13.207999999999998</v>
      </c>
      <c r="O9" s="113">
        <f>13.2*365</f>
        <v>4818</v>
      </c>
      <c r="P9" s="132"/>
      <c r="Q9" s="134" t="s">
        <v>6</v>
      </c>
      <c r="R9" s="13"/>
      <c r="S9" s="13">
        <f t="shared" si="0"/>
        <v>0</v>
      </c>
    </row>
    <row r="10" spans="1:19" ht="21" customHeight="1" x14ac:dyDescent="0.25">
      <c r="A10" s="15" t="s">
        <v>7</v>
      </c>
      <c r="B10" s="47">
        <v>16</v>
      </c>
      <c r="C10" s="153">
        <f>710.1*365</f>
        <v>259186.5</v>
      </c>
      <c r="D10" s="153">
        <v>73182.5</v>
      </c>
      <c r="E10" s="153">
        <f>40.9*365</f>
        <v>14928.5</v>
      </c>
      <c r="F10" s="38">
        <f t="shared" si="1"/>
        <v>347297.5</v>
      </c>
      <c r="G10" s="122">
        <f t="shared" si="2"/>
        <v>951.5</v>
      </c>
      <c r="I10" s="54" t="s">
        <v>9</v>
      </c>
      <c r="J10" s="113">
        <v>810.37</v>
      </c>
      <c r="K10" s="136">
        <f>810.4*365</f>
        <v>295796</v>
      </c>
      <c r="L10" s="113">
        <v>168.03899999999999</v>
      </c>
      <c r="M10" s="113">
        <f>168*365</f>
        <v>61320</v>
      </c>
      <c r="N10" s="113">
        <v>18.882999999999999</v>
      </c>
      <c r="O10" s="113">
        <f>18.9*365</f>
        <v>6898.4999999999991</v>
      </c>
      <c r="P10" s="132"/>
      <c r="Q10" s="134" t="s">
        <v>7</v>
      </c>
      <c r="R10" s="13"/>
      <c r="S10" s="13">
        <f t="shared" si="0"/>
        <v>0</v>
      </c>
    </row>
    <row r="11" spans="1:19" ht="21" customHeight="1" x14ac:dyDescent="0.25">
      <c r="A11" s="15" t="s">
        <v>8</v>
      </c>
      <c r="B11" s="47">
        <v>7</v>
      </c>
      <c r="C11" s="153">
        <f>944*365</f>
        <v>344560</v>
      </c>
      <c r="D11" s="153">
        <v>214255</v>
      </c>
      <c r="E11" s="153">
        <f>13.2*365</f>
        <v>4818</v>
      </c>
      <c r="F11" s="38">
        <f t="shared" si="1"/>
        <v>563633</v>
      </c>
      <c r="G11" s="122">
        <f t="shared" si="2"/>
        <v>1544.2</v>
      </c>
      <c r="I11" s="54" t="s">
        <v>10</v>
      </c>
      <c r="J11" s="113">
        <v>666.05700000000013</v>
      </c>
      <c r="K11" s="136">
        <f>666.1*365</f>
        <v>243126.5</v>
      </c>
      <c r="L11" s="113">
        <v>61.734999999999999</v>
      </c>
      <c r="M11" s="113">
        <f>61.7*365</f>
        <v>22520.5</v>
      </c>
      <c r="N11" s="113">
        <v>10.516999999999999</v>
      </c>
      <c r="O11" s="113">
        <f>10.5*365</f>
        <v>3832.5</v>
      </c>
      <c r="P11" s="132"/>
      <c r="Q11" s="134" t="s">
        <v>8</v>
      </c>
      <c r="R11" s="13"/>
      <c r="S11" s="13">
        <f t="shared" si="0"/>
        <v>0</v>
      </c>
    </row>
    <row r="12" spans="1:19" ht="21" customHeight="1" x14ac:dyDescent="0.25">
      <c r="A12" s="15" t="s">
        <v>9</v>
      </c>
      <c r="B12" s="47">
        <v>17</v>
      </c>
      <c r="C12" s="153">
        <f>810.4*365</f>
        <v>295796</v>
      </c>
      <c r="D12" s="153">
        <v>61320</v>
      </c>
      <c r="E12" s="153">
        <f>18.9*365</f>
        <v>6898.4999999999991</v>
      </c>
      <c r="F12" s="38">
        <f t="shared" si="1"/>
        <v>364014.5</v>
      </c>
      <c r="G12" s="122">
        <f t="shared" si="2"/>
        <v>997.3</v>
      </c>
      <c r="I12" s="54" t="s">
        <v>11</v>
      </c>
      <c r="J12" s="113">
        <v>1685.85</v>
      </c>
      <c r="K12" s="136">
        <f>1685.9*365</f>
        <v>615353.5</v>
      </c>
      <c r="L12" s="113">
        <v>781.11699999999996</v>
      </c>
      <c r="M12" s="113">
        <f>781.1*365</f>
        <v>285101.5</v>
      </c>
      <c r="N12" s="113">
        <v>4.5</v>
      </c>
      <c r="O12" s="113">
        <f>4.5*365</f>
        <v>1642.5</v>
      </c>
      <c r="P12" s="132"/>
      <c r="Q12" s="134" t="s">
        <v>9</v>
      </c>
      <c r="R12" s="13"/>
      <c r="S12" s="13">
        <f t="shared" si="0"/>
        <v>0</v>
      </c>
    </row>
    <row r="13" spans="1:19" ht="21" customHeight="1" x14ac:dyDescent="0.25">
      <c r="A13" s="15" t="s">
        <v>10</v>
      </c>
      <c r="B13" s="47">
        <v>12</v>
      </c>
      <c r="C13" s="154">
        <f>666.1*365</f>
        <v>243126.5</v>
      </c>
      <c r="D13" s="154">
        <v>22520.5</v>
      </c>
      <c r="E13" s="154">
        <f>10.5*365</f>
        <v>3832.5</v>
      </c>
      <c r="F13" s="38">
        <f t="shared" si="1"/>
        <v>269479.5</v>
      </c>
      <c r="G13" s="122">
        <f t="shared" si="2"/>
        <v>738.3</v>
      </c>
      <c r="I13" s="54" t="s">
        <v>12</v>
      </c>
      <c r="J13" s="113">
        <v>820.01199999999994</v>
      </c>
      <c r="K13" s="136">
        <f>820*365</f>
        <v>299300</v>
      </c>
      <c r="L13" s="113">
        <v>367.80000000000007</v>
      </c>
      <c r="M13" s="113">
        <f>367.8*365</f>
        <v>134247</v>
      </c>
      <c r="N13" s="113">
        <v>51.519999999999989</v>
      </c>
      <c r="O13" s="113">
        <f>51.5*365</f>
        <v>18797.5</v>
      </c>
      <c r="P13" s="132"/>
      <c r="Q13" s="134" t="s">
        <v>10</v>
      </c>
      <c r="R13" s="13"/>
      <c r="S13" s="13">
        <f t="shared" si="0"/>
        <v>0</v>
      </c>
    </row>
    <row r="14" spans="1:19" ht="21" customHeight="1" x14ac:dyDescent="0.25">
      <c r="A14" s="15" t="s">
        <v>11</v>
      </c>
      <c r="B14" s="17">
        <v>9</v>
      </c>
      <c r="C14" s="153">
        <f>1685.9*365</f>
        <v>615353.5</v>
      </c>
      <c r="D14" s="153">
        <v>285101.5</v>
      </c>
      <c r="E14" s="153">
        <f>4.5*365</f>
        <v>1642.5</v>
      </c>
      <c r="F14" s="38">
        <f t="shared" si="1"/>
        <v>902097.5</v>
      </c>
      <c r="G14" s="122">
        <f t="shared" si="2"/>
        <v>2471.5</v>
      </c>
      <c r="I14" s="54" t="s">
        <v>13</v>
      </c>
      <c r="J14" s="113">
        <v>448.62700000000001</v>
      </c>
      <c r="K14" s="136">
        <f>448.6*365</f>
        <v>163739</v>
      </c>
      <c r="L14" s="113">
        <v>506.78</v>
      </c>
      <c r="M14" s="113">
        <f>506.8*365</f>
        <v>184982</v>
      </c>
      <c r="N14" s="113">
        <v>0.68</v>
      </c>
      <c r="O14" s="113">
        <f>0.7*365</f>
        <v>255.49999999999997</v>
      </c>
      <c r="P14" s="132"/>
      <c r="Q14" s="134" t="s">
        <v>11</v>
      </c>
      <c r="R14" s="13"/>
      <c r="S14" s="13">
        <f t="shared" si="0"/>
        <v>0</v>
      </c>
    </row>
    <row r="15" spans="1:19" ht="21" customHeight="1" x14ac:dyDescent="0.25">
      <c r="A15" s="15" t="s">
        <v>12</v>
      </c>
      <c r="B15" s="17">
        <v>15</v>
      </c>
      <c r="C15" s="153">
        <f>820*365</f>
        <v>299300</v>
      </c>
      <c r="D15" s="153">
        <v>134247</v>
      </c>
      <c r="E15" s="153">
        <f>51.5*365</f>
        <v>18797.5</v>
      </c>
      <c r="F15" s="38">
        <f t="shared" si="1"/>
        <v>452344.5</v>
      </c>
      <c r="G15" s="122">
        <f t="shared" si="2"/>
        <v>1239.3</v>
      </c>
      <c r="I15" s="54" t="s">
        <v>14</v>
      </c>
      <c r="J15" s="113">
        <v>1522.3050000000001</v>
      </c>
      <c r="K15" s="136">
        <f>1522.3*365</f>
        <v>555639.5</v>
      </c>
      <c r="L15" s="113">
        <v>166.18600000000001</v>
      </c>
      <c r="M15" s="113">
        <f>166.2*365</f>
        <v>60662.999999999993</v>
      </c>
      <c r="N15" s="113">
        <v>29.286000000000008</v>
      </c>
      <c r="O15" s="113">
        <f>29.3*365</f>
        <v>10694.5</v>
      </c>
      <c r="P15" s="132"/>
      <c r="Q15" s="134" t="s">
        <v>12</v>
      </c>
      <c r="R15" s="13"/>
      <c r="S15" s="13">
        <f t="shared" si="0"/>
        <v>0</v>
      </c>
    </row>
    <row r="16" spans="1:19" ht="21" customHeight="1" x14ac:dyDescent="0.25">
      <c r="A16" s="15" t="s">
        <v>13</v>
      </c>
      <c r="B16" s="17">
        <v>11</v>
      </c>
      <c r="C16" s="153">
        <f>448.6*365</f>
        <v>163739</v>
      </c>
      <c r="D16" s="153">
        <v>184982</v>
      </c>
      <c r="E16" s="153">
        <f>0.7*365</f>
        <v>255.49999999999997</v>
      </c>
      <c r="F16" s="38">
        <f t="shared" si="1"/>
        <v>348976.5</v>
      </c>
      <c r="G16" s="122">
        <f t="shared" si="2"/>
        <v>956.1</v>
      </c>
      <c r="I16" s="54" t="s">
        <v>15</v>
      </c>
      <c r="J16" s="113">
        <v>1389.5100000000002</v>
      </c>
      <c r="K16" s="136">
        <f>1389.5*365</f>
        <v>507167.5</v>
      </c>
      <c r="L16" s="113">
        <v>346.5</v>
      </c>
      <c r="M16" s="113">
        <f>346.5*365</f>
        <v>126472.5</v>
      </c>
      <c r="N16" s="113">
        <v>31.899999999999991</v>
      </c>
      <c r="O16" s="113">
        <f>31.9*365</f>
        <v>11643.5</v>
      </c>
      <c r="P16" s="132"/>
      <c r="Q16" s="134" t="s">
        <v>13</v>
      </c>
      <c r="R16" s="13"/>
      <c r="S16" s="13">
        <f t="shared" si="0"/>
        <v>0</v>
      </c>
    </row>
    <row r="17" spans="1:19" ht="21" customHeight="1" x14ac:dyDescent="0.25">
      <c r="A17" s="15" t="s">
        <v>14</v>
      </c>
      <c r="B17" s="17">
        <v>20</v>
      </c>
      <c r="C17" s="153">
        <f>1522.3*365</f>
        <v>555639.5</v>
      </c>
      <c r="D17" s="153">
        <v>60662.999999999993</v>
      </c>
      <c r="E17" s="153">
        <f>29.3*365</f>
        <v>10694.5</v>
      </c>
      <c r="F17" s="38">
        <f t="shared" si="1"/>
        <v>626997</v>
      </c>
      <c r="G17" s="122">
        <f t="shared" si="2"/>
        <v>1717.8</v>
      </c>
      <c r="I17" s="138" t="s">
        <v>16</v>
      </c>
      <c r="J17" s="115">
        <v>3284.06</v>
      </c>
      <c r="K17" s="136">
        <f>3284.1*365</f>
        <v>1198696.5</v>
      </c>
      <c r="L17" s="115">
        <v>1187.7500000000002</v>
      </c>
      <c r="M17" s="113">
        <f>1187.8*365</f>
        <v>433547</v>
      </c>
      <c r="N17" s="115">
        <v>42.244999999999997</v>
      </c>
      <c r="O17" s="115">
        <f>42.2*365</f>
        <v>15403.000000000002</v>
      </c>
      <c r="P17" s="141"/>
      <c r="Q17" s="134" t="s">
        <v>14</v>
      </c>
      <c r="R17" s="13"/>
      <c r="S17" s="13">
        <f t="shared" si="0"/>
        <v>0</v>
      </c>
    </row>
    <row r="18" spans="1:19" ht="21" customHeight="1" x14ac:dyDescent="0.25">
      <c r="A18" s="15" t="s">
        <v>15</v>
      </c>
      <c r="B18" s="17">
        <v>15</v>
      </c>
      <c r="C18" s="153">
        <f>1389.5*365</f>
        <v>507167.5</v>
      </c>
      <c r="D18" s="153">
        <v>126472.5</v>
      </c>
      <c r="E18" s="153">
        <f>31.9*365</f>
        <v>11643.5</v>
      </c>
      <c r="F18" s="38">
        <f t="shared" si="1"/>
        <v>645283.5</v>
      </c>
      <c r="G18" s="122">
        <f t="shared" si="2"/>
        <v>1767.9</v>
      </c>
      <c r="I18" s="54" t="s">
        <v>85</v>
      </c>
      <c r="J18" s="113">
        <v>24592.526000000002</v>
      </c>
      <c r="K18" s="136">
        <f>24592.5*365</f>
        <v>8976262.5</v>
      </c>
      <c r="L18" s="113">
        <v>6106.610999999999</v>
      </c>
      <c r="M18" s="113">
        <f>SUM(M4:M17)</f>
        <v>2228909</v>
      </c>
      <c r="N18" s="113">
        <v>365.81</v>
      </c>
      <c r="O18" s="113">
        <f>365.8*365</f>
        <v>133517</v>
      </c>
      <c r="P18" s="132"/>
      <c r="Q18" s="134" t="s">
        <v>15</v>
      </c>
      <c r="R18" s="13"/>
      <c r="S18" s="13">
        <f t="shared" si="0"/>
        <v>0</v>
      </c>
    </row>
    <row r="19" spans="1:19" ht="21" customHeight="1" thickBot="1" x14ac:dyDescent="0.3">
      <c r="A19" s="16" t="s">
        <v>16</v>
      </c>
      <c r="B19" s="18">
        <v>15</v>
      </c>
      <c r="C19" s="155">
        <f>3284.1*365</f>
        <v>1198696.5</v>
      </c>
      <c r="D19" s="155">
        <v>433547</v>
      </c>
      <c r="E19" s="155">
        <f>42.2*365</f>
        <v>15403.000000000002</v>
      </c>
      <c r="F19" s="52">
        <f t="shared" si="1"/>
        <v>1647646.5</v>
      </c>
      <c r="G19" s="122">
        <f t="shared" si="2"/>
        <v>4514.1000000000004</v>
      </c>
      <c r="I19" s="139" t="s">
        <v>72</v>
      </c>
      <c r="J19" s="116"/>
      <c r="K19" s="136"/>
      <c r="L19" s="116"/>
      <c r="M19" s="113"/>
      <c r="N19" s="116"/>
      <c r="O19" s="116"/>
      <c r="P19" s="142"/>
      <c r="Q19" s="134" t="s">
        <v>16</v>
      </c>
      <c r="R19" s="13"/>
      <c r="S19" s="13">
        <f t="shared" si="0"/>
        <v>0</v>
      </c>
    </row>
    <row r="20" spans="1:19" ht="21" customHeight="1" thickTop="1" thickBot="1" x14ac:dyDescent="0.3">
      <c r="A20" s="85" t="s">
        <v>43</v>
      </c>
      <c r="B20" s="86">
        <f>SUM(B4:B19)</f>
        <v>198</v>
      </c>
      <c r="C20" s="125">
        <f>24592.5*365</f>
        <v>8976262.5</v>
      </c>
      <c r="D20" s="125">
        <v>2228909</v>
      </c>
      <c r="E20" s="125">
        <f>365.8*365</f>
        <v>133517</v>
      </c>
      <c r="F20" s="109">
        <f t="shared" si="1"/>
        <v>11338688.5</v>
      </c>
      <c r="G20" s="125">
        <f>SUM(G4:G19)</f>
        <v>31065.1</v>
      </c>
      <c r="I20" s="54" t="s">
        <v>79</v>
      </c>
      <c r="J20" s="113">
        <v>1699.8260000000007</v>
      </c>
      <c r="K20" s="136">
        <f>1699.8*365</f>
        <v>620427</v>
      </c>
      <c r="L20" s="113">
        <v>6.35</v>
      </c>
      <c r="M20" s="113">
        <f>6.4*365</f>
        <v>2336</v>
      </c>
      <c r="N20" s="113">
        <v>12.549999999999999</v>
      </c>
      <c r="O20" s="113">
        <f>12.6*365</f>
        <v>4599</v>
      </c>
      <c r="P20" s="132"/>
      <c r="Q20" s="134" t="s">
        <v>17</v>
      </c>
      <c r="R20" s="13"/>
      <c r="S20" s="13">
        <f>SUM(S4:S4:S19)</f>
        <v>0</v>
      </c>
    </row>
    <row r="21" spans="1:19" s="8" customFormat="1" ht="21" customHeight="1" thickTop="1" thickBot="1" x14ac:dyDescent="0.3">
      <c r="A21" s="74" t="s">
        <v>72</v>
      </c>
      <c r="B21" s="75"/>
      <c r="C21" s="77"/>
      <c r="D21" s="156"/>
      <c r="E21" s="156"/>
      <c r="F21" s="77"/>
      <c r="G21" s="156"/>
      <c r="I21" s="54" t="s">
        <v>80</v>
      </c>
      <c r="J21" s="113">
        <v>2601.7550000000001</v>
      </c>
      <c r="K21" s="136">
        <f>2601.8*365</f>
        <v>949657.00000000012</v>
      </c>
      <c r="L21" s="113">
        <v>231.55</v>
      </c>
      <c r="M21" s="113">
        <f>231.6*365</f>
        <v>84534</v>
      </c>
      <c r="N21" s="113">
        <v>146.60000000000005</v>
      </c>
      <c r="O21" s="113">
        <f>146.6*365</f>
        <v>53509</v>
      </c>
      <c r="P21" s="132"/>
      <c r="Q21" s="35"/>
      <c r="R21" s="2"/>
      <c r="S21" s="2"/>
    </row>
    <row r="22" spans="1:19" s="8" customFormat="1" ht="21" customHeight="1" thickTop="1" x14ac:dyDescent="0.25">
      <c r="A22" s="88" t="s">
        <v>79</v>
      </c>
      <c r="B22" s="89">
        <v>39</v>
      </c>
      <c r="C22" s="122">
        <v>620427</v>
      </c>
      <c r="D22" s="122">
        <v>2336</v>
      </c>
      <c r="E22" s="122">
        <f>12.6*365</f>
        <v>4599</v>
      </c>
      <c r="F22" s="124">
        <f t="shared" si="1"/>
        <v>627362</v>
      </c>
      <c r="G22" s="160">
        <f>F22/365</f>
        <v>1718.8</v>
      </c>
      <c r="I22" s="54" t="s">
        <v>86</v>
      </c>
      <c r="J22" s="113">
        <v>2972.7649999999994</v>
      </c>
      <c r="K22" s="136">
        <f>2972.8*365</f>
        <v>1085072</v>
      </c>
      <c r="L22" s="113">
        <v>554.06000000000017</v>
      </c>
      <c r="M22" s="113">
        <f>554.1*365</f>
        <v>202246.5</v>
      </c>
      <c r="N22" s="113">
        <v>23</v>
      </c>
      <c r="O22" s="113">
        <f>23*365</f>
        <v>8395</v>
      </c>
      <c r="P22" s="132"/>
      <c r="Q22" s="35"/>
      <c r="R22" s="2"/>
      <c r="S22" s="2"/>
    </row>
    <row r="23" spans="1:19" s="8" customFormat="1" ht="21" customHeight="1" x14ac:dyDescent="0.25">
      <c r="A23" s="15" t="s">
        <v>80</v>
      </c>
      <c r="B23" s="17">
        <v>70</v>
      </c>
      <c r="C23" s="122">
        <v>949657.00000000012</v>
      </c>
      <c r="D23" s="122">
        <v>84534</v>
      </c>
      <c r="E23" s="122">
        <f>146.6*365</f>
        <v>53509</v>
      </c>
      <c r="F23" s="38">
        <f t="shared" si="1"/>
        <v>1087700</v>
      </c>
      <c r="G23" s="160">
        <f t="shared" ref="G23:G26" si="3">F23/365</f>
        <v>2980</v>
      </c>
      <c r="I23" s="54" t="s">
        <v>85</v>
      </c>
      <c r="J23" s="113">
        <v>7274.3460000000005</v>
      </c>
      <c r="K23" s="136">
        <f>7274.3*365</f>
        <v>2655119.5</v>
      </c>
      <c r="L23" s="113">
        <v>791.96000000000015</v>
      </c>
      <c r="M23" s="113">
        <f>792*365</f>
        <v>289080</v>
      </c>
      <c r="N23" s="113">
        <v>182.15000000000006</v>
      </c>
      <c r="O23" s="113">
        <f>182.2*365</f>
        <v>66503</v>
      </c>
      <c r="P23" s="132"/>
      <c r="Q23" s="35"/>
      <c r="R23" s="2"/>
      <c r="S23" s="2"/>
    </row>
    <row r="24" spans="1:19" s="8" customFormat="1" ht="21" customHeight="1" thickBot="1" x14ac:dyDescent="0.3">
      <c r="A24" s="16" t="s">
        <v>81</v>
      </c>
      <c r="B24" s="18">
        <v>62</v>
      </c>
      <c r="C24" s="128">
        <v>1085072</v>
      </c>
      <c r="D24" s="128">
        <v>202246.5</v>
      </c>
      <c r="E24" s="128">
        <f>23*365</f>
        <v>8395</v>
      </c>
      <c r="F24" s="52">
        <f t="shared" si="1"/>
        <v>1295713.5</v>
      </c>
      <c r="G24" s="160">
        <f t="shared" si="3"/>
        <v>3549.9</v>
      </c>
      <c r="I24" s="139" t="s">
        <v>73</v>
      </c>
      <c r="J24" s="116">
        <v>31866.872000000003</v>
      </c>
      <c r="K24" s="136">
        <f>31866.9*365</f>
        <v>11631418.5</v>
      </c>
      <c r="L24" s="116">
        <v>6898.570999999999</v>
      </c>
      <c r="M24" s="113">
        <f>6898.6*365</f>
        <v>2517989</v>
      </c>
      <c r="N24" s="116">
        <v>547.96</v>
      </c>
      <c r="O24" s="116">
        <f>548*365</f>
        <v>200020</v>
      </c>
      <c r="P24" s="142"/>
      <c r="Q24" s="35"/>
      <c r="R24" s="2"/>
      <c r="S24" s="2"/>
    </row>
    <row r="25" spans="1:19" s="8" customFormat="1" ht="21" customHeight="1" thickTop="1" thickBot="1" x14ac:dyDescent="0.3">
      <c r="A25" s="85" t="s">
        <v>43</v>
      </c>
      <c r="B25" s="86">
        <f>SUM(B22:B24)</f>
        <v>171</v>
      </c>
      <c r="C25" s="125">
        <f>SUM(C22:C24)</f>
        <v>2655156</v>
      </c>
      <c r="D25" s="125">
        <v>289080</v>
      </c>
      <c r="E25" s="125">
        <f>182.2*365</f>
        <v>66503</v>
      </c>
      <c r="F25" s="109">
        <f t="shared" si="1"/>
        <v>3010739</v>
      </c>
      <c r="G25" s="125">
        <f t="shared" si="3"/>
        <v>8248.6</v>
      </c>
      <c r="Q25" s="35"/>
      <c r="R25" s="2"/>
      <c r="S25" s="2"/>
    </row>
    <row r="26" spans="1:19" s="8" customFormat="1" ht="21" customHeight="1" thickTop="1" thickBot="1" x14ac:dyDescent="0.3">
      <c r="A26" s="74" t="s">
        <v>73</v>
      </c>
      <c r="B26" s="75">
        <f>B20+B25</f>
        <v>369</v>
      </c>
      <c r="C26" s="123">
        <f>C20+C25</f>
        <v>11631418.5</v>
      </c>
      <c r="D26" s="79">
        <v>2517989</v>
      </c>
      <c r="E26" s="79">
        <f>548*365</f>
        <v>200020</v>
      </c>
      <c r="F26" s="77">
        <f>C26+D26+E26</f>
        <v>14349427.5</v>
      </c>
      <c r="G26" s="156">
        <f t="shared" si="3"/>
        <v>39313.5</v>
      </c>
      <c r="Q26" s="35"/>
      <c r="R26" s="2"/>
      <c r="S26" s="2"/>
    </row>
    <row r="27" spans="1:19" s="8" customFormat="1" ht="1.5" customHeight="1" thickTop="1" x14ac:dyDescent="0.25">
      <c r="A27" s="96"/>
      <c r="B27" s="36"/>
      <c r="C27" s="126"/>
      <c r="D27" s="63"/>
      <c r="E27" s="144"/>
      <c r="F27" s="145"/>
      <c r="G27" s="146"/>
      <c r="Q27" s="35"/>
      <c r="R27" s="2"/>
      <c r="S27" s="2"/>
    </row>
    <row r="28" spans="1:19" s="8" customFormat="1" ht="18" customHeight="1" x14ac:dyDescent="0.25">
      <c r="A28" s="196" t="s">
        <v>108</v>
      </c>
      <c r="B28" s="196"/>
      <c r="C28" s="196"/>
      <c r="D28" s="196"/>
      <c r="E28" s="196"/>
      <c r="F28" s="196"/>
      <c r="G28" s="146"/>
      <c r="Q28" s="35"/>
      <c r="R28" s="2"/>
      <c r="S28" s="2"/>
    </row>
    <row r="29" spans="1:19" s="8" customFormat="1" ht="15.75" customHeight="1" x14ac:dyDescent="0.25">
      <c r="A29" s="185" t="s">
        <v>56</v>
      </c>
      <c r="B29" s="185"/>
      <c r="C29" s="185"/>
      <c r="D29" s="185"/>
      <c r="E29" s="37"/>
      <c r="F29" s="37"/>
      <c r="G29" s="37"/>
      <c r="I29" s="143"/>
      <c r="Q29" s="37"/>
      <c r="R29" s="2"/>
      <c r="S29" s="2"/>
    </row>
    <row r="30" spans="1:19" s="8" customFormat="1" ht="3" customHeight="1" x14ac:dyDescent="0.25">
      <c r="A30" s="73"/>
      <c r="B30" s="73"/>
      <c r="C30" s="73"/>
      <c r="D30" s="140"/>
      <c r="E30" s="37"/>
      <c r="F30" s="37"/>
      <c r="G30" s="37"/>
      <c r="J30" s="52">
        <v>1295713.5</v>
      </c>
      <c r="Q30" s="37"/>
      <c r="R30" s="2"/>
      <c r="S30" s="2"/>
    </row>
    <row r="31" spans="1:19" ht="13.5" customHeight="1" x14ac:dyDescent="0.25">
      <c r="A31" s="185" t="s">
        <v>82</v>
      </c>
      <c r="B31" s="185"/>
      <c r="C31" s="185"/>
      <c r="D31" s="185"/>
      <c r="E31" s="185"/>
      <c r="F31" s="185"/>
      <c r="G31" s="185"/>
      <c r="H31" s="185"/>
      <c r="I31" s="185"/>
      <c r="J31" s="185"/>
      <c r="K31" s="185"/>
      <c r="L31" s="185"/>
      <c r="M31" s="185"/>
      <c r="N31" s="185"/>
      <c r="O31" s="185"/>
      <c r="P31" s="185"/>
      <c r="Q31" s="185"/>
      <c r="R31" s="185"/>
      <c r="S31" s="185"/>
    </row>
    <row r="32" spans="1:19" s="8" customFormat="1" ht="1.5" customHeight="1" x14ac:dyDescent="0.25">
      <c r="A32" s="45"/>
      <c r="B32" s="45"/>
      <c r="C32" s="45"/>
      <c r="D32" s="157"/>
      <c r="E32" s="45"/>
      <c r="F32" s="45"/>
      <c r="G32" s="45"/>
      <c r="R32" s="8" t="s">
        <v>44</v>
      </c>
    </row>
    <row r="33" spans="1:19" ht="14.25" customHeight="1" x14ac:dyDescent="0.25">
      <c r="A33" s="183" t="s">
        <v>55</v>
      </c>
      <c r="B33" s="183"/>
      <c r="C33" s="183"/>
      <c r="D33" s="192">
        <v>84</v>
      </c>
      <c r="E33" s="192"/>
      <c r="F33" s="192"/>
      <c r="G33" s="192"/>
      <c r="J33" s="124"/>
      <c r="Q33" s="41"/>
    </row>
    <row r="34" spans="1:19" x14ac:dyDescent="0.25">
      <c r="J34" s="38"/>
    </row>
    <row r="35" spans="1:19" x14ac:dyDescent="0.25">
      <c r="D35" s="164"/>
    </row>
    <row r="36" spans="1:19" x14ac:dyDescent="0.25">
      <c r="J36" s="143"/>
      <c r="K36" s="143"/>
    </row>
    <row r="43" spans="1:19" x14ac:dyDescent="0.25">
      <c r="S43"/>
    </row>
    <row r="44" spans="1:19" x14ac:dyDescent="0.25">
      <c r="S44"/>
    </row>
    <row r="45" spans="1:19" x14ac:dyDescent="0.25">
      <c r="S45"/>
    </row>
    <row r="46" spans="1:19" x14ac:dyDescent="0.25">
      <c r="S46"/>
    </row>
    <row r="47" spans="1:19" x14ac:dyDescent="0.25">
      <c r="S47"/>
    </row>
    <row r="48" spans="1:19" x14ac:dyDescent="0.25">
      <c r="S48"/>
    </row>
    <row r="49" spans="19:19" x14ac:dyDescent="0.25">
      <c r="S49"/>
    </row>
    <row r="50" spans="19:19" x14ac:dyDescent="0.25">
      <c r="S50"/>
    </row>
    <row r="51" spans="19:19" x14ac:dyDescent="0.25">
      <c r="S51"/>
    </row>
    <row r="52" spans="19:19" x14ac:dyDescent="0.25">
      <c r="S52"/>
    </row>
    <row r="53" spans="19:19" x14ac:dyDescent="0.25">
      <c r="S53"/>
    </row>
    <row r="54" spans="19:19" x14ac:dyDescent="0.25">
      <c r="S54"/>
    </row>
    <row r="55" spans="19:19" x14ac:dyDescent="0.25">
      <c r="S55"/>
    </row>
    <row r="56" spans="19:19" x14ac:dyDescent="0.25">
      <c r="S56"/>
    </row>
    <row r="57" spans="19:19" x14ac:dyDescent="0.25">
      <c r="S57"/>
    </row>
    <row r="58" spans="19:19" x14ac:dyDescent="0.25">
      <c r="S58"/>
    </row>
    <row r="59" spans="19:19" x14ac:dyDescent="0.25">
      <c r="S59"/>
    </row>
    <row r="60" spans="19:19" x14ac:dyDescent="0.25">
      <c r="S60"/>
    </row>
    <row r="61" spans="19:19" x14ac:dyDescent="0.25">
      <c r="S61"/>
    </row>
    <row r="62" spans="19:19" x14ac:dyDescent="0.25">
      <c r="S62"/>
    </row>
    <row r="63" spans="19:19" x14ac:dyDescent="0.25">
      <c r="S63"/>
    </row>
  </sheetData>
  <mergeCells count="10">
    <mergeCell ref="A33:C33"/>
    <mergeCell ref="Q2:S2"/>
    <mergeCell ref="A1:G1"/>
    <mergeCell ref="A29:D29"/>
    <mergeCell ref="D33:G33"/>
    <mergeCell ref="A31:S31"/>
    <mergeCell ref="J2:K2"/>
    <mergeCell ref="L2:M2"/>
    <mergeCell ref="N2:O2"/>
    <mergeCell ref="A28:F28"/>
  </mergeCells>
  <printOptions horizontalCentered="1"/>
  <pageMargins left="0.51181102362204722" right="0.51181102362204722" top="0.59055118110236227" bottom="0.19685039370078741"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R31"/>
  <sheetViews>
    <sheetView rightToLeft="1" view="pageBreakPreview" topLeftCell="A13" zoomScaleSheetLayoutView="100" workbookViewId="0">
      <selection activeCell="E26" sqref="E26"/>
    </sheetView>
  </sheetViews>
  <sheetFormatPr defaultRowHeight="15" x14ac:dyDescent="0.25"/>
  <cols>
    <col min="1" max="1" width="14.140625" customWidth="1"/>
    <col min="2" max="2" width="15.42578125" customWidth="1"/>
    <col min="3" max="3" width="15.85546875" customWidth="1"/>
    <col min="4" max="4" width="15.28515625" customWidth="1"/>
    <col min="5" max="5" width="16.5703125" customWidth="1"/>
    <col min="6" max="6" width="15.5703125" customWidth="1"/>
    <col min="7" max="7" width="16.140625" customWidth="1"/>
    <col min="8" max="8" width="10.140625" bestFit="1" customWidth="1"/>
  </cols>
  <sheetData>
    <row r="1" spans="1:12" ht="15.75" customHeight="1" x14ac:dyDescent="0.25">
      <c r="A1" s="186" t="s">
        <v>88</v>
      </c>
      <c r="B1" s="186"/>
      <c r="C1" s="186"/>
      <c r="D1" s="186"/>
      <c r="E1" s="186"/>
      <c r="F1" s="186"/>
      <c r="G1" s="186"/>
    </row>
    <row r="2" spans="1:12" ht="15.75" customHeight="1" thickBot="1" x14ac:dyDescent="0.3">
      <c r="A2" s="56" t="s">
        <v>61</v>
      </c>
      <c r="B2" s="56"/>
      <c r="C2" s="56"/>
      <c r="D2" s="56"/>
      <c r="E2" s="56"/>
      <c r="F2" s="56"/>
      <c r="G2" s="56"/>
    </row>
    <row r="3" spans="1:12" ht="33.75" customHeight="1" thickTop="1" x14ac:dyDescent="0.25">
      <c r="A3" s="64" t="s">
        <v>0</v>
      </c>
      <c r="B3" s="64" t="s">
        <v>87</v>
      </c>
      <c r="C3" s="64" t="s">
        <v>32</v>
      </c>
      <c r="D3" s="64" t="s">
        <v>33</v>
      </c>
      <c r="E3" s="64" t="s">
        <v>30</v>
      </c>
      <c r="F3" s="64" t="s">
        <v>31</v>
      </c>
      <c r="G3" s="64" t="s">
        <v>28</v>
      </c>
    </row>
    <row r="4" spans="1:12" ht="21.95" customHeight="1" x14ac:dyDescent="0.25">
      <c r="A4" s="15" t="s">
        <v>1</v>
      </c>
      <c r="B4" s="38" t="s">
        <v>71</v>
      </c>
      <c r="C4" s="83" t="s">
        <v>71</v>
      </c>
      <c r="D4" s="62" t="s">
        <v>71</v>
      </c>
      <c r="E4" s="62" t="s">
        <v>71</v>
      </c>
      <c r="F4" s="62" t="s">
        <v>71</v>
      </c>
      <c r="G4" s="62" t="s">
        <v>71</v>
      </c>
      <c r="L4" s="8"/>
    </row>
    <row r="5" spans="1:12" ht="21.95" customHeight="1" x14ac:dyDescent="0.25">
      <c r="A5" s="15" t="s">
        <v>2</v>
      </c>
      <c r="B5" s="38">
        <v>1053515</v>
      </c>
      <c r="C5" s="122">
        <f>1011.9*365</f>
        <v>369343.5</v>
      </c>
      <c r="D5" s="55">
        <f>C5/365</f>
        <v>1011.9</v>
      </c>
      <c r="E5" s="22">
        <f>C5*1000</f>
        <v>369343500</v>
      </c>
      <c r="F5" s="22">
        <f>E5/365</f>
        <v>1011900</v>
      </c>
      <c r="G5" s="39">
        <f>F5/B5</f>
        <v>0.96049890129708637</v>
      </c>
    </row>
    <row r="6" spans="1:12" ht="21.95" customHeight="1" x14ac:dyDescent="0.25">
      <c r="A6" s="15" t="s">
        <v>3</v>
      </c>
      <c r="B6" s="38">
        <v>609829</v>
      </c>
      <c r="C6" s="122">
        <f>883.7*365</f>
        <v>322550.5</v>
      </c>
      <c r="D6" s="55">
        <f>C6/365</f>
        <v>883.7</v>
      </c>
      <c r="E6" s="22">
        <f>C6*1000</f>
        <v>322550500</v>
      </c>
      <c r="F6" s="22">
        <f>E6/365</f>
        <v>883700</v>
      </c>
      <c r="G6" s="39">
        <f>F6/B6</f>
        <v>1.4490947462321404</v>
      </c>
    </row>
    <row r="7" spans="1:12" ht="21.95" customHeight="1" x14ac:dyDescent="0.25">
      <c r="A7" s="15" t="s">
        <v>57</v>
      </c>
      <c r="B7" s="38" t="s">
        <v>71</v>
      </c>
      <c r="C7" s="122" t="s">
        <v>71</v>
      </c>
      <c r="D7" s="62" t="s">
        <v>71</v>
      </c>
      <c r="E7" s="62" t="s">
        <v>71</v>
      </c>
      <c r="F7" s="62" t="s">
        <v>71</v>
      </c>
      <c r="G7" s="62" t="s">
        <v>71</v>
      </c>
    </row>
    <row r="8" spans="1:12" ht="21.95" customHeight="1" x14ac:dyDescent="0.25">
      <c r="A8" s="59" t="s">
        <v>98</v>
      </c>
      <c r="B8" s="129">
        <v>5684796.9999999991</v>
      </c>
      <c r="C8" s="122">
        <f>9577.7*365</f>
        <v>3495860.5000000005</v>
      </c>
      <c r="D8" s="80">
        <f>C8/365</f>
        <v>9577.7000000000007</v>
      </c>
      <c r="E8" s="61">
        <f>C8*1000</f>
        <v>3495860500.0000005</v>
      </c>
      <c r="F8" s="61">
        <f>E8/365</f>
        <v>9577700.0000000019</v>
      </c>
      <c r="G8" s="39">
        <f t="shared" ref="G8:G26" si="0">F8/B8</f>
        <v>1.6847919107753546</v>
      </c>
    </row>
    <row r="9" spans="1:12" ht="21.95" customHeight="1" x14ac:dyDescent="0.25">
      <c r="A9" s="14" t="s">
        <v>99</v>
      </c>
      <c r="B9" s="38">
        <v>766310</v>
      </c>
      <c r="C9" s="153">
        <f>838.4*365</f>
        <v>306016</v>
      </c>
      <c r="D9" s="80">
        <f t="shared" ref="D9:D20" si="1">C9/365</f>
        <v>838.4</v>
      </c>
      <c r="E9" s="61">
        <f t="shared" ref="E9:E20" si="2">C9*1000</f>
        <v>306016000</v>
      </c>
      <c r="F9" s="61">
        <f t="shared" ref="F9:F20" si="3">E9/365</f>
        <v>838400</v>
      </c>
      <c r="G9" s="39">
        <f t="shared" si="0"/>
        <v>1.0940741997363992</v>
      </c>
    </row>
    <row r="10" spans="1:12" ht="21.95" customHeight="1" x14ac:dyDescent="0.25">
      <c r="A10" s="15" t="s">
        <v>7</v>
      </c>
      <c r="B10" s="38">
        <v>537053</v>
      </c>
      <c r="C10" s="153">
        <f>710.1*365</f>
        <v>259186.5</v>
      </c>
      <c r="D10" s="80">
        <f t="shared" si="1"/>
        <v>710.1</v>
      </c>
      <c r="E10" s="61">
        <f t="shared" si="2"/>
        <v>259186500</v>
      </c>
      <c r="F10" s="61">
        <f t="shared" si="3"/>
        <v>710100</v>
      </c>
      <c r="G10" s="39">
        <f t="shared" si="0"/>
        <v>1.3222158706868783</v>
      </c>
    </row>
    <row r="11" spans="1:12" ht="21.95" customHeight="1" x14ac:dyDescent="0.25">
      <c r="A11" s="15" t="s">
        <v>100</v>
      </c>
      <c r="B11" s="38">
        <v>781251</v>
      </c>
      <c r="C11" s="153">
        <f>944*365</f>
        <v>344560</v>
      </c>
      <c r="D11" s="80">
        <f t="shared" si="1"/>
        <v>944</v>
      </c>
      <c r="E11" s="61">
        <f t="shared" si="2"/>
        <v>344560000</v>
      </c>
      <c r="F11" s="61">
        <f t="shared" si="3"/>
        <v>944000</v>
      </c>
      <c r="G11" s="39">
        <f t="shared" si="0"/>
        <v>1.2083184533523796</v>
      </c>
    </row>
    <row r="12" spans="1:12" ht="21.95" customHeight="1" x14ac:dyDescent="0.25">
      <c r="A12" s="15" t="s">
        <v>9</v>
      </c>
      <c r="B12" s="38">
        <v>762991.99999999977</v>
      </c>
      <c r="C12" s="153">
        <f>810.4*365</f>
        <v>295796</v>
      </c>
      <c r="D12" s="80">
        <f t="shared" si="1"/>
        <v>810.4</v>
      </c>
      <c r="E12" s="61">
        <f t="shared" si="2"/>
        <v>295796000</v>
      </c>
      <c r="F12" s="61">
        <f t="shared" si="3"/>
        <v>810400</v>
      </c>
      <c r="G12" s="39">
        <f t="shared" si="0"/>
        <v>1.0621343343049472</v>
      </c>
    </row>
    <row r="13" spans="1:12" ht="21.95" customHeight="1" x14ac:dyDescent="0.25">
      <c r="A13" s="15" t="s">
        <v>10</v>
      </c>
      <c r="B13" s="38">
        <v>509035</v>
      </c>
      <c r="C13" s="154">
        <f>666.1*365</f>
        <v>243126.5</v>
      </c>
      <c r="D13" s="80">
        <f t="shared" si="1"/>
        <v>666.1</v>
      </c>
      <c r="E13" s="61">
        <f t="shared" si="2"/>
        <v>243126500</v>
      </c>
      <c r="F13" s="61">
        <f t="shared" si="3"/>
        <v>666100</v>
      </c>
      <c r="G13" s="39">
        <f t="shared" si="0"/>
        <v>1.308554421601658</v>
      </c>
    </row>
    <row r="14" spans="1:12" ht="21.95" customHeight="1" x14ac:dyDescent="0.25">
      <c r="A14" s="15" t="s">
        <v>11</v>
      </c>
      <c r="B14" s="38">
        <v>1057921</v>
      </c>
      <c r="C14" s="153">
        <f>1685.9*365</f>
        <v>615353.5</v>
      </c>
      <c r="D14" s="80">
        <f t="shared" si="1"/>
        <v>1685.9</v>
      </c>
      <c r="E14" s="61">
        <f t="shared" si="2"/>
        <v>615353500</v>
      </c>
      <c r="F14" s="61">
        <f t="shared" si="3"/>
        <v>1685900</v>
      </c>
      <c r="G14" s="39">
        <f t="shared" si="0"/>
        <v>1.59359725348112</v>
      </c>
    </row>
    <row r="15" spans="1:12" ht="21.95" customHeight="1" x14ac:dyDescent="0.25">
      <c r="A15" s="15" t="s">
        <v>12</v>
      </c>
      <c r="B15" s="38">
        <v>634497.99999999988</v>
      </c>
      <c r="C15" s="153">
        <f>820*365</f>
        <v>299300</v>
      </c>
      <c r="D15" s="80">
        <f t="shared" si="1"/>
        <v>820</v>
      </c>
      <c r="E15" s="61">
        <f t="shared" si="2"/>
        <v>299300000</v>
      </c>
      <c r="F15" s="61">
        <f t="shared" si="3"/>
        <v>820000</v>
      </c>
      <c r="G15" s="39">
        <f t="shared" si="0"/>
        <v>1.2923602596068076</v>
      </c>
    </row>
    <row r="16" spans="1:12" ht="21.95" customHeight="1" x14ac:dyDescent="0.25">
      <c r="A16" s="15" t="s">
        <v>13</v>
      </c>
      <c r="B16" s="38">
        <v>378390</v>
      </c>
      <c r="C16" s="153">
        <f>448.6*365</f>
        <v>163739</v>
      </c>
      <c r="D16" s="80">
        <f t="shared" si="1"/>
        <v>448.6</v>
      </c>
      <c r="E16" s="61">
        <f t="shared" si="2"/>
        <v>163739000</v>
      </c>
      <c r="F16" s="61">
        <f t="shared" si="3"/>
        <v>448600</v>
      </c>
      <c r="G16" s="39">
        <f t="shared" si="0"/>
        <v>1.1855493009857554</v>
      </c>
    </row>
    <row r="17" spans="1:18" ht="21.95" customHeight="1" x14ac:dyDescent="0.25">
      <c r="A17" s="15" t="s">
        <v>14</v>
      </c>
      <c r="B17" s="38">
        <v>1185656</v>
      </c>
      <c r="C17" s="153">
        <f>1522.3*365</f>
        <v>555639.5</v>
      </c>
      <c r="D17" s="80">
        <f t="shared" si="1"/>
        <v>1522.3</v>
      </c>
      <c r="E17" s="61">
        <f t="shared" si="2"/>
        <v>555639500</v>
      </c>
      <c r="F17" s="61">
        <f t="shared" si="3"/>
        <v>1522300</v>
      </c>
      <c r="G17" s="39">
        <f t="shared" si="0"/>
        <v>1.2839305835756745</v>
      </c>
    </row>
    <row r="18" spans="1:18" ht="21.95" customHeight="1" x14ac:dyDescent="0.25">
      <c r="A18" s="15" t="s">
        <v>15</v>
      </c>
      <c r="B18" s="38">
        <v>799109.99999999988</v>
      </c>
      <c r="C18" s="153">
        <f>1389.5*365</f>
        <v>507167.5</v>
      </c>
      <c r="D18" s="80">
        <f t="shared" si="1"/>
        <v>1389.5</v>
      </c>
      <c r="E18" s="61">
        <f t="shared" si="2"/>
        <v>507167500</v>
      </c>
      <c r="F18" s="61">
        <f t="shared" si="3"/>
        <v>1389500</v>
      </c>
      <c r="G18" s="39">
        <f t="shared" si="0"/>
        <v>1.7388094254858533</v>
      </c>
    </row>
    <row r="19" spans="1:18" ht="21.95" customHeight="1" thickBot="1" x14ac:dyDescent="0.3">
      <c r="A19" s="16" t="s">
        <v>16</v>
      </c>
      <c r="B19" s="42">
        <v>1952127.0000000002</v>
      </c>
      <c r="C19" s="155">
        <f>3284.1*365</f>
        <v>1198696.5</v>
      </c>
      <c r="D19" s="147">
        <f t="shared" si="1"/>
        <v>3284.1</v>
      </c>
      <c r="E19" s="93">
        <f t="shared" si="2"/>
        <v>1198696500</v>
      </c>
      <c r="F19" s="93">
        <f t="shared" si="3"/>
        <v>3284100</v>
      </c>
      <c r="G19" s="149">
        <f t="shared" si="0"/>
        <v>1.6823188245436898</v>
      </c>
    </row>
    <row r="20" spans="1:18" ht="24.75" customHeight="1" thickTop="1" thickBot="1" x14ac:dyDescent="0.3">
      <c r="A20" s="85" t="s">
        <v>43</v>
      </c>
      <c r="B20" s="109">
        <v>16712484</v>
      </c>
      <c r="C20" s="125">
        <f>24592.5*365</f>
        <v>8976262.5</v>
      </c>
      <c r="D20" s="148">
        <f t="shared" si="1"/>
        <v>24592.5</v>
      </c>
      <c r="E20" s="92">
        <f t="shared" si="2"/>
        <v>8976262500</v>
      </c>
      <c r="F20" s="92">
        <f t="shared" si="3"/>
        <v>24592500</v>
      </c>
      <c r="G20" s="150">
        <f t="shared" si="0"/>
        <v>1.4715047745146681</v>
      </c>
    </row>
    <row r="21" spans="1:18" s="8" customFormat="1" ht="21" customHeight="1" thickTop="1" thickBot="1" x14ac:dyDescent="0.3">
      <c r="A21" s="74" t="s">
        <v>72</v>
      </c>
      <c r="B21" s="78"/>
      <c r="C21" s="77"/>
      <c r="D21" s="78"/>
      <c r="E21" s="78"/>
      <c r="F21" s="77"/>
      <c r="G21" s="77"/>
      <c r="H21" s="35"/>
      <c r="I21" s="2"/>
      <c r="J21" s="2"/>
      <c r="L21" s="117"/>
      <c r="M21" s="113"/>
      <c r="N21" s="120"/>
      <c r="O21" s="113"/>
      <c r="P21" s="114"/>
      <c r="Q21" s="113"/>
      <c r="R21" s="114"/>
    </row>
    <row r="22" spans="1:18" s="8" customFormat="1" ht="21" customHeight="1" thickTop="1" x14ac:dyDescent="0.25">
      <c r="A22" s="88" t="s">
        <v>79</v>
      </c>
      <c r="B22" s="130">
        <v>1058566</v>
      </c>
      <c r="C22" s="122">
        <v>620427</v>
      </c>
      <c r="D22" s="122">
        <f>C22/365</f>
        <v>1699.8</v>
      </c>
      <c r="E22" s="38">
        <f>C22*1000</f>
        <v>620427000</v>
      </c>
      <c r="F22" s="124">
        <f>E22/365</f>
        <v>1699800</v>
      </c>
      <c r="G22" s="39">
        <f t="shared" si="0"/>
        <v>1.6057572225066741</v>
      </c>
      <c r="H22" s="35"/>
      <c r="I22" s="2"/>
      <c r="J22" s="2"/>
      <c r="L22" s="117"/>
      <c r="M22" s="113"/>
      <c r="N22" s="118"/>
      <c r="O22" s="113"/>
      <c r="P22" s="114"/>
      <c r="Q22" s="113"/>
      <c r="R22" s="114"/>
    </row>
    <row r="23" spans="1:18" s="8" customFormat="1" ht="21" customHeight="1" thickBot="1" x14ac:dyDescent="0.3">
      <c r="A23" s="15" t="s">
        <v>80</v>
      </c>
      <c r="B23" s="21">
        <v>1824527.9999999998</v>
      </c>
      <c r="C23" s="122">
        <v>949657.00000000012</v>
      </c>
      <c r="D23" s="122">
        <f t="shared" ref="D23:D26" si="4">C23/365</f>
        <v>2601.8000000000002</v>
      </c>
      <c r="E23" s="38">
        <f t="shared" ref="E23:E26" si="5">C23*1000</f>
        <v>949657000.00000012</v>
      </c>
      <c r="F23" s="124">
        <f t="shared" ref="F23:F26" si="6">E23/365</f>
        <v>2601800.0000000005</v>
      </c>
      <c r="G23" s="39">
        <f t="shared" si="0"/>
        <v>1.4260126454622788</v>
      </c>
      <c r="H23" s="35"/>
      <c r="I23" s="2"/>
      <c r="J23" s="2"/>
      <c r="L23" s="119"/>
      <c r="M23" s="116"/>
      <c r="N23" s="118"/>
      <c r="O23" s="116"/>
      <c r="P23" s="114"/>
      <c r="Q23" s="121"/>
      <c r="R23" s="114"/>
    </row>
    <row r="24" spans="1:18" s="8" customFormat="1" ht="21" customHeight="1" thickTop="1" thickBot="1" x14ac:dyDescent="0.3">
      <c r="A24" s="16" t="s">
        <v>81</v>
      </c>
      <c r="B24" s="131">
        <v>1593866.0000000007</v>
      </c>
      <c r="C24" s="128">
        <v>1085072</v>
      </c>
      <c r="D24" s="128">
        <f t="shared" si="4"/>
        <v>2972.8</v>
      </c>
      <c r="E24" s="38">
        <f t="shared" si="5"/>
        <v>1085072000</v>
      </c>
      <c r="F24" s="124">
        <f t="shared" si="6"/>
        <v>2972800</v>
      </c>
      <c r="G24" s="39">
        <f t="shared" si="0"/>
        <v>1.8651505208091512</v>
      </c>
      <c r="H24" s="35"/>
      <c r="I24" s="2"/>
      <c r="J24" s="2"/>
    </row>
    <row r="25" spans="1:18" s="8" customFormat="1" ht="21" customHeight="1" thickTop="1" thickBot="1" x14ac:dyDescent="0.3">
      <c r="A25" s="85" t="s">
        <v>43</v>
      </c>
      <c r="B25" s="112">
        <v>4476960.0000000009</v>
      </c>
      <c r="C25" s="125">
        <f>SUM(C22:C24)</f>
        <v>2655156</v>
      </c>
      <c r="D25" s="125">
        <f t="shared" si="4"/>
        <v>7274.4</v>
      </c>
      <c r="E25" s="109">
        <f t="shared" si="5"/>
        <v>2655156000</v>
      </c>
      <c r="F25" s="125">
        <f>7274.3*365</f>
        <v>2655119.5</v>
      </c>
      <c r="G25" s="125">
        <f t="shared" si="0"/>
        <v>0.59306303831171137</v>
      </c>
      <c r="H25" s="35"/>
      <c r="I25" s="2"/>
      <c r="J25" s="2"/>
    </row>
    <row r="26" spans="1:18" s="8" customFormat="1" ht="21" customHeight="1" thickTop="1" thickBot="1" x14ac:dyDescent="0.3">
      <c r="A26" s="74" t="s">
        <v>73</v>
      </c>
      <c r="B26" s="78">
        <v>21189444</v>
      </c>
      <c r="C26" s="123">
        <f>C20+C25</f>
        <v>11631418.5</v>
      </c>
      <c r="D26" s="156">
        <f t="shared" si="4"/>
        <v>31866.9</v>
      </c>
      <c r="E26" s="95">
        <f t="shared" si="5"/>
        <v>11631418500</v>
      </c>
      <c r="F26" s="95">
        <f t="shared" si="6"/>
        <v>31866900</v>
      </c>
      <c r="G26" s="123">
        <f t="shared" si="0"/>
        <v>1.503904491311806</v>
      </c>
      <c r="H26" s="35"/>
      <c r="I26" s="2"/>
      <c r="J26" s="2"/>
    </row>
    <row r="27" spans="1:18" s="8" customFormat="1" ht="13.5" customHeight="1" thickTop="1" x14ac:dyDescent="0.25">
      <c r="A27" s="185" t="s">
        <v>56</v>
      </c>
      <c r="B27" s="185"/>
      <c r="C27" s="185"/>
      <c r="D27" s="185"/>
      <c r="E27" s="43"/>
      <c r="F27" s="43"/>
      <c r="G27" s="44"/>
    </row>
    <row r="28" spans="1:18" s="8" customFormat="1" ht="12.75" customHeight="1" x14ac:dyDescent="0.25">
      <c r="A28" s="185" t="s">
        <v>82</v>
      </c>
      <c r="B28" s="185"/>
      <c r="C28" s="185"/>
      <c r="D28" s="185"/>
      <c r="E28" s="185"/>
      <c r="F28" s="185"/>
      <c r="G28" s="185"/>
      <c r="H28" s="185"/>
      <c r="I28" s="185"/>
      <c r="J28" s="185"/>
      <c r="K28" s="185"/>
    </row>
    <row r="29" spans="1:18" s="8" customFormat="1" ht="9.75" hidden="1" customHeight="1" x14ac:dyDescent="0.25">
      <c r="A29" s="197"/>
      <c r="B29" s="197"/>
      <c r="C29" s="197"/>
      <c r="D29" s="197"/>
      <c r="E29" s="197"/>
      <c r="F29" s="197"/>
      <c r="G29" s="197"/>
    </row>
    <row r="30" spans="1:18" ht="5.25" customHeight="1" x14ac:dyDescent="0.25">
      <c r="A30" s="3"/>
      <c r="B30" s="3"/>
      <c r="C30" s="3"/>
      <c r="D30" s="7"/>
      <c r="E30" s="5"/>
      <c r="F30" s="6"/>
      <c r="G30" s="1"/>
    </row>
    <row r="31" spans="1:18" s="8" customFormat="1" ht="13.5" customHeight="1" x14ac:dyDescent="0.25">
      <c r="A31" s="183" t="s">
        <v>55</v>
      </c>
      <c r="B31" s="183"/>
      <c r="C31" s="183"/>
      <c r="D31" s="192">
        <v>85</v>
      </c>
      <c r="E31" s="192"/>
      <c r="F31" s="192"/>
      <c r="G31" s="192"/>
    </row>
  </sheetData>
  <mergeCells count="6">
    <mergeCell ref="A1:G1"/>
    <mergeCell ref="A29:G29"/>
    <mergeCell ref="D31:G31"/>
    <mergeCell ref="A27:D27"/>
    <mergeCell ref="A28:K28"/>
    <mergeCell ref="A31:C31"/>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33"/>
  <sheetViews>
    <sheetView rightToLeft="1" view="pageBreakPreview" topLeftCell="A13" zoomScaleSheetLayoutView="100" workbookViewId="0">
      <selection activeCell="A31" sqref="A31:G31"/>
    </sheetView>
  </sheetViews>
  <sheetFormatPr defaultRowHeight="15" x14ac:dyDescent="0.25"/>
  <cols>
    <col min="1" max="1" width="13.28515625" customWidth="1"/>
    <col min="2" max="2" width="11.42578125" customWidth="1"/>
    <col min="3" max="3" width="12.28515625" customWidth="1"/>
    <col min="4" max="4" width="10.140625" style="8" customWidth="1"/>
    <col min="5" max="5" width="12.42578125" customWidth="1"/>
    <col min="6" max="6" width="13.42578125" customWidth="1"/>
    <col min="7" max="7" width="12.28515625" customWidth="1"/>
  </cols>
  <sheetData>
    <row r="1" spans="1:15" ht="35.25" customHeight="1" x14ac:dyDescent="0.25">
      <c r="A1" s="199" t="s">
        <v>75</v>
      </c>
      <c r="B1" s="199"/>
      <c r="C1" s="199"/>
      <c r="D1" s="199"/>
      <c r="E1" s="199"/>
      <c r="F1" s="199"/>
      <c r="G1" s="199"/>
    </row>
    <row r="2" spans="1:15" ht="17.25" customHeight="1" thickBot="1" x14ac:dyDescent="0.3">
      <c r="A2" s="57" t="s">
        <v>62</v>
      </c>
      <c r="B2" s="57"/>
      <c r="C2" s="57"/>
      <c r="D2" s="57"/>
      <c r="E2" s="57"/>
      <c r="F2" s="57"/>
      <c r="G2" s="57"/>
    </row>
    <row r="3" spans="1:15" ht="24.75" customHeight="1" thickTop="1" x14ac:dyDescent="0.25">
      <c r="A3" s="187" t="s">
        <v>0</v>
      </c>
      <c r="B3" s="202" t="s">
        <v>27</v>
      </c>
      <c r="C3" s="202"/>
      <c r="D3" s="202"/>
      <c r="E3" s="187" t="s">
        <v>18</v>
      </c>
      <c r="F3" s="187" t="s">
        <v>109</v>
      </c>
      <c r="G3" s="200" t="s">
        <v>101</v>
      </c>
    </row>
    <row r="4" spans="1:15" ht="28.5" customHeight="1" x14ac:dyDescent="0.25">
      <c r="A4" s="188"/>
      <c r="B4" s="66" t="s">
        <v>25</v>
      </c>
      <c r="C4" s="66" t="s">
        <v>26</v>
      </c>
      <c r="D4" s="81" t="s">
        <v>17</v>
      </c>
      <c r="E4" s="188"/>
      <c r="F4" s="188"/>
      <c r="G4" s="201"/>
    </row>
    <row r="5" spans="1:15" ht="20.100000000000001" customHeight="1" x14ac:dyDescent="0.25">
      <c r="A5" s="15" t="s">
        <v>1</v>
      </c>
      <c r="B5" s="83" t="s">
        <v>71</v>
      </c>
      <c r="C5" s="83" t="s">
        <v>71</v>
      </c>
      <c r="D5" s="83" t="s">
        <v>71</v>
      </c>
      <c r="E5" s="83" t="s">
        <v>71</v>
      </c>
      <c r="F5" s="83" t="s">
        <v>71</v>
      </c>
      <c r="G5" s="83" t="s">
        <v>71</v>
      </c>
    </row>
    <row r="6" spans="1:15" ht="20.100000000000001" customHeight="1" x14ac:dyDescent="0.25">
      <c r="A6" s="15" t="s">
        <v>2</v>
      </c>
      <c r="B6" s="47">
        <v>2</v>
      </c>
      <c r="C6" s="161">
        <v>7</v>
      </c>
      <c r="D6" s="47">
        <f t="shared" ref="D6:D21" si="0">SUM(B6:C6)</f>
        <v>9</v>
      </c>
      <c r="E6" s="47">
        <v>2</v>
      </c>
      <c r="F6" s="161">
        <v>0</v>
      </c>
      <c r="G6" s="161">
        <v>0</v>
      </c>
    </row>
    <row r="7" spans="1:15" ht="20.100000000000001" customHeight="1" x14ac:dyDescent="0.25">
      <c r="A7" s="15" t="s">
        <v>3</v>
      </c>
      <c r="B7" s="47">
        <v>1</v>
      </c>
      <c r="C7" s="161">
        <v>16</v>
      </c>
      <c r="D7" s="47">
        <f t="shared" si="0"/>
        <v>17</v>
      </c>
      <c r="E7" s="47">
        <v>2</v>
      </c>
      <c r="F7" s="161">
        <v>3</v>
      </c>
      <c r="G7" s="161">
        <v>0</v>
      </c>
    </row>
    <row r="8" spans="1:15" ht="20.100000000000001" customHeight="1" x14ac:dyDescent="0.25">
      <c r="A8" s="15" t="s">
        <v>24</v>
      </c>
      <c r="B8" s="107" t="s">
        <v>71</v>
      </c>
      <c r="C8" s="107" t="s">
        <v>71</v>
      </c>
      <c r="D8" s="107" t="s">
        <v>71</v>
      </c>
      <c r="E8" s="107" t="s">
        <v>71</v>
      </c>
      <c r="F8" s="107" t="s">
        <v>71</v>
      </c>
      <c r="G8" s="107" t="s">
        <v>71</v>
      </c>
    </row>
    <row r="9" spans="1:15" ht="20.100000000000001" customHeight="1" x14ac:dyDescent="0.25">
      <c r="A9" s="59" t="s">
        <v>98</v>
      </c>
      <c r="B9" s="47">
        <v>0</v>
      </c>
      <c r="C9" s="161">
        <v>3</v>
      </c>
      <c r="D9" s="47">
        <f t="shared" si="0"/>
        <v>3</v>
      </c>
      <c r="E9" s="47">
        <v>6</v>
      </c>
      <c r="F9" s="161">
        <v>13</v>
      </c>
      <c r="G9" s="161">
        <v>4</v>
      </c>
    </row>
    <row r="10" spans="1:15" ht="20.100000000000001" customHeight="1" x14ac:dyDescent="0.25">
      <c r="A10" s="14" t="s">
        <v>99</v>
      </c>
      <c r="B10" s="47">
        <v>3</v>
      </c>
      <c r="C10" s="161">
        <v>5</v>
      </c>
      <c r="D10" s="47">
        <f t="shared" si="0"/>
        <v>8</v>
      </c>
      <c r="E10" s="47">
        <v>0</v>
      </c>
      <c r="F10" s="161">
        <v>11</v>
      </c>
      <c r="G10" s="161">
        <v>73</v>
      </c>
    </row>
    <row r="11" spans="1:15" ht="20.100000000000001" customHeight="1" x14ac:dyDescent="0.25">
      <c r="A11" s="15" t="s">
        <v>7</v>
      </c>
      <c r="B11" s="47">
        <v>8</v>
      </c>
      <c r="C11" s="161">
        <v>4</v>
      </c>
      <c r="D11" s="47">
        <f t="shared" si="0"/>
        <v>12</v>
      </c>
      <c r="E11" s="47">
        <v>2</v>
      </c>
      <c r="F11" s="161">
        <v>2</v>
      </c>
      <c r="G11" s="161">
        <v>2</v>
      </c>
    </row>
    <row r="12" spans="1:15" ht="20.100000000000001" customHeight="1" x14ac:dyDescent="0.25">
      <c r="A12" s="15" t="s">
        <v>8</v>
      </c>
      <c r="B12" s="47">
        <v>1</v>
      </c>
      <c r="C12" s="161">
        <v>1</v>
      </c>
      <c r="D12" s="47">
        <f t="shared" si="0"/>
        <v>2</v>
      </c>
      <c r="E12" s="47">
        <v>0</v>
      </c>
      <c r="F12" s="161">
        <v>3</v>
      </c>
      <c r="G12" s="47">
        <v>1</v>
      </c>
    </row>
    <row r="13" spans="1:15" ht="20.100000000000001" customHeight="1" x14ac:dyDescent="0.25">
      <c r="A13" s="15" t="s">
        <v>9</v>
      </c>
      <c r="B13" s="47">
        <v>9</v>
      </c>
      <c r="C13" s="161">
        <v>6</v>
      </c>
      <c r="D13" s="47">
        <f t="shared" si="0"/>
        <v>15</v>
      </c>
      <c r="E13" s="47">
        <v>0</v>
      </c>
      <c r="F13" s="161">
        <v>2</v>
      </c>
      <c r="G13" s="161">
        <v>0</v>
      </c>
    </row>
    <row r="14" spans="1:15" ht="20.100000000000001" customHeight="1" x14ac:dyDescent="0.25">
      <c r="A14" s="15" t="s">
        <v>78</v>
      </c>
      <c r="B14" s="47">
        <v>1</v>
      </c>
      <c r="C14" s="107">
        <v>10</v>
      </c>
      <c r="D14" s="47">
        <v>11</v>
      </c>
      <c r="E14" s="47">
        <v>0</v>
      </c>
      <c r="F14" s="47">
        <v>1</v>
      </c>
      <c r="G14" s="47">
        <v>15</v>
      </c>
    </row>
    <row r="15" spans="1:15" ht="20.100000000000001" customHeight="1" x14ac:dyDescent="0.25">
      <c r="A15" s="15" t="s">
        <v>11</v>
      </c>
      <c r="B15" s="47">
        <v>3</v>
      </c>
      <c r="C15" s="161">
        <v>3</v>
      </c>
      <c r="D15" s="47">
        <f t="shared" si="0"/>
        <v>6</v>
      </c>
      <c r="E15" s="47">
        <v>8</v>
      </c>
      <c r="F15" s="161">
        <v>3</v>
      </c>
      <c r="G15" s="161">
        <v>2</v>
      </c>
      <c r="I15" s="185"/>
      <c r="J15" s="185"/>
      <c r="K15" s="185"/>
      <c r="L15" s="185"/>
      <c r="M15" s="185"/>
      <c r="N15" s="185"/>
      <c r="O15" s="185"/>
    </row>
    <row r="16" spans="1:15" ht="20.100000000000001" customHeight="1" x14ac:dyDescent="0.25">
      <c r="A16" s="15" t="s">
        <v>12</v>
      </c>
      <c r="B16" s="47">
        <v>4</v>
      </c>
      <c r="C16" s="161">
        <v>5</v>
      </c>
      <c r="D16" s="47">
        <f t="shared" si="0"/>
        <v>9</v>
      </c>
      <c r="E16" s="47">
        <v>0</v>
      </c>
      <c r="F16" s="161">
        <v>6</v>
      </c>
      <c r="G16" s="161">
        <v>2</v>
      </c>
    </row>
    <row r="17" spans="1:7" ht="20.100000000000001" customHeight="1" x14ac:dyDescent="0.25">
      <c r="A17" s="15" t="s">
        <v>13</v>
      </c>
      <c r="B17" s="47">
        <v>6</v>
      </c>
      <c r="C17" s="161">
        <v>1</v>
      </c>
      <c r="D17" s="47">
        <f t="shared" si="0"/>
        <v>7</v>
      </c>
      <c r="E17" s="47">
        <v>0</v>
      </c>
      <c r="F17" s="161">
        <v>0</v>
      </c>
      <c r="G17" s="161">
        <v>0</v>
      </c>
    </row>
    <row r="18" spans="1:7" ht="20.100000000000001" customHeight="1" x14ac:dyDescent="0.25">
      <c r="A18" s="15" t="s">
        <v>14</v>
      </c>
      <c r="B18" s="47">
        <v>2</v>
      </c>
      <c r="C18" s="161">
        <v>13</v>
      </c>
      <c r="D18" s="47">
        <f t="shared" si="0"/>
        <v>15</v>
      </c>
      <c r="E18" s="47">
        <v>1</v>
      </c>
      <c r="F18" s="161">
        <v>3</v>
      </c>
      <c r="G18" s="161">
        <v>17</v>
      </c>
    </row>
    <row r="19" spans="1:7" ht="20.100000000000001" customHeight="1" x14ac:dyDescent="0.25">
      <c r="A19" s="15" t="s">
        <v>15</v>
      </c>
      <c r="B19" s="47">
        <v>2</v>
      </c>
      <c r="C19" s="161">
        <v>11</v>
      </c>
      <c r="D19" s="47">
        <f t="shared" si="0"/>
        <v>13</v>
      </c>
      <c r="E19" s="47">
        <v>2</v>
      </c>
      <c r="F19" s="161">
        <v>5</v>
      </c>
      <c r="G19" s="161">
        <v>27</v>
      </c>
    </row>
    <row r="20" spans="1:7" ht="20.100000000000001" customHeight="1" thickBot="1" x14ac:dyDescent="0.3">
      <c r="A20" s="16" t="s">
        <v>16</v>
      </c>
      <c r="B20" s="48">
        <v>1</v>
      </c>
      <c r="C20" s="162">
        <v>16</v>
      </c>
      <c r="D20" s="48">
        <f t="shared" si="0"/>
        <v>17</v>
      </c>
      <c r="E20" s="48">
        <v>0</v>
      </c>
      <c r="F20" s="162">
        <v>5</v>
      </c>
      <c r="G20" s="162">
        <v>0</v>
      </c>
    </row>
    <row r="21" spans="1:7" ht="20.100000000000001" customHeight="1" thickTop="1" thickBot="1" x14ac:dyDescent="0.3">
      <c r="A21" s="85" t="s">
        <v>43</v>
      </c>
      <c r="B21" s="86">
        <f>SUM(B6:B20)</f>
        <v>43</v>
      </c>
      <c r="C21" s="97">
        <f>SUM(C6:C20)</f>
        <v>101</v>
      </c>
      <c r="D21" s="86">
        <f t="shared" si="0"/>
        <v>144</v>
      </c>
      <c r="E21" s="86">
        <f>SUM(E6:E20)</f>
        <v>23</v>
      </c>
      <c r="F21" s="98">
        <f>SUM(F6:F20)</f>
        <v>57</v>
      </c>
      <c r="G21" s="97">
        <f>SUM(G6:G20)</f>
        <v>143</v>
      </c>
    </row>
    <row r="22" spans="1:7" s="8" customFormat="1" ht="20.100000000000001" customHeight="1" thickTop="1" thickBot="1" x14ac:dyDescent="0.3">
      <c r="A22" s="74" t="s">
        <v>72</v>
      </c>
      <c r="B22" s="94"/>
      <c r="C22" s="100"/>
      <c r="D22" s="100"/>
      <c r="E22" s="94"/>
      <c r="F22" s="100"/>
      <c r="G22" s="100"/>
    </row>
    <row r="23" spans="1:7" s="8" customFormat="1" ht="20.100000000000001" customHeight="1" thickTop="1" x14ac:dyDescent="0.25">
      <c r="A23" s="88" t="s">
        <v>79</v>
      </c>
      <c r="B23" s="99">
        <v>10</v>
      </c>
      <c r="C23" s="163">
        <v>15</v>
      </c>
      <c r="D23" s="99">
        <f>SUM(B23:C23)</f>
        <v>25</v>
      </c>
      <c r="E23" s="99">
        <v>2</v>
      </c>
      <c r="F23" s="163">
        <v>8</v>
      </c>
      <c r="G23" s="163">
        <v>7</v>
      </c>
    </row>
    <row r="24" spans="1:7" s="8" customFormat="1" ht="20.100000000000001" customHeight="1" x14ac:dyDescent="0.25">
      <c r="A24" s="15" t="s">
        <v>80</v>
      </c>
      <c r="B24" s="47">
        <v>5</v>
      </c>
      <c r="C24" s="161">
        <v>28</v>
      </c>
      <c r="D24" s="47">
        <f>SUM(B24:C24)</f>
        <v>33</v>
      </c>
      <c r="E24" s="47">
        <v>0</v>
      </c>
      <c r="F24" s="161">
        <v>1</v>
      </c>
      <c r="G24" s="161">
        <v>30</v>
      </c>
    </row>
    <row r="25" spans="1:7" s="8" customFormat="1" ht="20.100000000000001" customHeight="1" thickBot="1" x14ac:dyDescent="0.3">
      <c r="A25" s="16" t="s">
        <v>81</v>
      </c>
      <c r="B25" s="48">
        <v>15</v>
      </c>
      <c r="C25" s="162">
        <v>19</v>
      </c>
      <c r="D25" s="48">
        <f>SUM(B25:C25)</f>
        <v>34</v>
      </c>
      <c r="E25" s="48">
        <v>5</v>
      </c>
      <c r="F25" s="162">
        <v>12</v>
      </c>
      <c r="G25" s="162">
        <v>55</v>
      </c>
    </row>
    <row r="26" spans="1:7" s="8" customFormat="1" ht="20.100000000000001" customHeight="1" thickTop="1" thickBot="1" x14ac:dyDescent="0.3">
      <c r="A26" s="85" t="s">
        <v>43</v>
      </c>
      <c r="B26" s="106">
        <f>SUM(B23:B25)</f>
        <v>30</v>
      </c>
      <c r="C26" s="98">
        <f>SUM(C23:C25)</f>
        <v>62</v>
      </c>
      <c r="D26" s="106">
        <f>SUM(B26:C26)</f>
        <v>92</v>
      </c>
      <c r="E26" s="106">
        <f>SUM(E23:E25)</f>
        <v>7</v>
      </c>
      <c r="F26" s="98">
        <f>SUM(F23:F25)</f>
        <v>21</v>
      </c>
      <c r="G26" s="98">
        <f>SUM(G23:G25)</f>
        <v>92</v>
      </c>
    </row>
    <row r="27" spans="1:7" s="8" customFormat="1" ht="20.100000000000001" customHeight="1" thickTop="1" thickBot="1" x14ac:dyDescent="0.3">
      <c r="A27" s="74" t="s">
        <v>73</v>
      </c>
      <c r="B27" s="75">
        <f>B21+B26</f>
        <v>73</v>
      </c>
      <c r="C27" s="103">
        <f>C21+C26</f>
        <v>163</v>
      </c>
      <c r="D27" s="101">
        <f>SUM(B27:C27)</f>
        <v>236</v>
      </c>
      <c r="E27" s="101">
        <f>E21+E26</f>
        <v>30</v>
      </c>
      <c r="F27" s="103">
        <f>F21+F26</f>
        <v>78</v>
      </c>
      <c r="G27" s="103">
        <f>G21+G26</f>
        <v>235</v>
      </c>
    </row>
    <row r="28" spans="1:7" s="8" customFormat="1" ht="5.25" customHeight="1" thickTop="1" x14ac:dyDescent="0.25">
      <c r="A28" s="4"/>
      <c r="B28" s="9"/>
      <c r="C28" s="10"/>
      <c r="D28" s="10"/>
      <c r="E28" s="102"/>
      <c r="F28" s="10"/>
      <c r="G28" s="10"/>
    </row>
    <row r="29" spans="1:7" s="8" customFormat="1" ht="14.25" customHeight="1" x14ac:dyDescent="0.25">
      <c r="A29" s="185" t="s">
        <v>56</v>
      </c>
      <c r="B29" s="185"/>
      <c r="C29" s="185"/>
      <c r="D29" s="185"/>
      <c r="E29" s="102"/>
      <c r="F29" s="10"/>
      <c r="G29" s="10"/>
    </row>
    <row r="30" spans="1:7" s="8" customFormat="1" ht="4.5" customHeight="1" x14ac:dyDescent="0.25">
      <c r="A30" s="168"/>
      <c r="B30" s="168"/>
      <c r="C30" s="168"/>
      <c r="D30" s="168"/>
      <c r="E30" s="102"/>
      <c r="F30" s="10"/>
      <c r="G30" s="10"/>
    </row>
    <row r="31" spans="1:7" s="8" customFormat="1" ht="15.75" customHeight="1" x14ac:dyDescent="0.25">
      <c r="A31" s="185" t="s">
        <v>97</v>
      </c>
      <c r="B31" s="185"/>
      <c r="C31" s="185"/>
      <c r="D31" s="185"/>
      <c r="E31" s="185"/>
      <c r="F31" s="185"/>
      <c r="G31" s="185"/>
    </row>
    <row r="32" spans="1:7" ht="0.75" customHeight="1" x14ac:dyDescent="0.25">
      <c r="A32" s="198"/>
      <c r="B32" s="198"/>
      <c r="C32" s="198"/>
      <c r="D32" s="198"/>
      <c r="E32" s="198"/>
      <c r="F32" s="198"/>
    </row>
    <row r="33" spans="1:7" ht="13.5" customHeight="1" x14ac:dyDescent="0.25">
      <c r="A33" s="183" t="s">
        <v>55</v>
      </c>
      <c r="B33" s="183"/>
      <c r="C33" s="183"/>
      <c r="D33" s="192">
        <v>86</v>
      </c>
      <c r="E33" s="192"/>
      <c r="F33" s="192"/>
      <c r="G33" s="192"/>
    </row>
  </sheetData>
  <mergeCells count="12">
    <mergeCell ref="I15:O15"/>
    <mergeCell ref="A31:G31"/>
    <mergeCell ref="A33:C33"/>
    <mergeCell ref="A32:F32"/>
    <mergeCell ref="A1:G1"/>
    <mergeCell ref="A3:A4"/>
    <mergeCell ref="E3:E4"/>
    <mergeCell ref="F3:F4"/>
    <mergeCell ref="G3:G4"/>
    <mergeCell ref="B3:D3"/>
    <mergeCell ref="D33:G33"/>
    <mergeCell ref="A29:D29"/>
  </mergeCells>
  <printOptions horizontalCentered="1"/>
  <pageMargins left="0.51181102362204722" right="0.51181102362204722" top="0.59055118110236227" bottom="0.19685039370078741" header="0.31496062992125984" footer="0.31496062992125984"/>
  <pageSetup paperSize="9" scale="85" orientation="landscape" r:id="rId1"/>
  <ignoredErrors>
    <ignoredError sqref="D2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33"/>
  <sheetViews>
    <sheetView rightToLeft="1" view="pageBreakPreview" topLeftCell="A22" zoomScaleSheetLayoutView="100" workbookViewId="0">
      <selection activeCell="B25" sqref="B25"/>
    </sheetView>
  </sheetViews>
  <sheetFormatPr defaultColWidth="9.140625" defaultRowHeight="15" x14ac:dyDescent="0.25"/>
  <cols>
    <col min="1" max="1" width="18.42578125" style="8" customWidth="1"/>
    <col min="2" max="2" width="14.140625" style="8" customWidth="1"/>
    <col min="3" max="3" width="12.85546875" style="8" customWidth="1"/>
    <col min="4" max="4" width="17.42578125" style="8" customWidth="1"/>
    <col min="5" max="16384" width="9.140625" style="8"/>
  </cols>
  <sheetData>
    <row r="1" spans="1:4" ht="36" customHeight="1" x14ac:dyDescent="0.25">
      <c r="A1" s="199" t="s">
        <v>94</v>
      </c>
      <c r="B1" s="199"/>
      <c r="C1" s="199"/>
      <c r="D1" s="199"/>
    </row>
    <row r="2" spans="1:4" ht="18" customHeight="1" thickBot="1" x14ac:dyDescent="0.3">
      <c r="A2" s="58" t="s">
        <v>63</v>
      </c>
      <c r="B2" s="58"/>
      <c r="C2" s="58"/>
      <c r="D2" s="58"/>
    </row>
    <row r="3" spans="1:4" ht="21" customHeight="1" thickTop="1" x14ac:dyDescent="0.25">
      <c r="A3" s="187" t="s">
        <v>0</v>
      </c>
      <c r="B3" s="187" t="s">
        <v>37</v>
      </c>
      <c r="C3" s="202" t="s">
        <v>54</v>
      </c>
      <c r="D3" s="202"/>
    </row>
    <row r="4" spans="1:4" ht="21" customHeight="1" x14ac:dyDescent="0.25">
      <c r="A4" s="188"/>
      <c r="B4" s="188"/>
      <c r="C4" s="66" t="s">
        <v>35</v>
      </c>
      <c r="D4" s="66" t="s">
        <v>36</v>
      </c>
    </row>
    <row r="5" spans="1:4" ht="20.100000000000001" customHeight="1" x14ac:dyDescent="0.25">
      <c r="A5" s="15" t="s">
        <v>1</v>
      </c>
      <c r="B5" s="83" t="s">
        <v>71</v>
      </c>
      <c r="C5" s="83" t="s">
        <v>71</v>
      </c>
      <c r="D5" s="83" t="s">
        <v>71</v>
      </c>
    </row>
    <row r="6" spans="1:4" ht="20.100000000000001" customHeight="1" x14ac:dyDescent="0.25">
      <c r="A6" s="15" t="s">
        <v>2</v>
      </c>
      <c r="B6" s="47">
        <v>2</v>
      </c>
      <c r="C6" s="47">
        <v>0</v>
      </c>
      <c r="D6" s="47">
        <v>2</v>
      </c>
    </row>
    <row r="7" spans="1:4" ht="20.100000000000001" customHeight="1" x14ac:dyDescent="0.25">
      <c r="A7" s="15" t="s">
        <v>3</v>
      </c>
      <c r="B7" s="47">
        <v>1</v>
      </c>
      <c r="C7" s="47">
        <v>0</v>
      </c>
      <c r="D7" s="47">
        <v>1</v>
      </c>
    </row>
    <row r="8" spans="1:4" ht="20.100000000000001" customHeight="1" x14ac:dyDescent="0.25">
      <c r="A8" s="15" t="s">
        <v>24</v>
      </c>
      <c r="B8" s="107" t="s">
        <v>71</v>
      </c>
      <c r="C8" s="83" t="s">
        <v>71</v>
      </c>
      <c r="D8" s="83" t="s">
        <v>71</v>
      </c>
    </row>
    <row r="9" spans="1:4" ht="20.100000000000001" customHeight="1" x14ac:dyDescent="0.25">
      <c r="A9" s="59" t="s">
        <v>98</v>
      </c>
      <c r="B9" s="47">
        <v>0</v>
      </c>
      <c r="C9" s="47">
        <v>0</v>
      </c>
      <c r="D9" s="47">
        <v>0</v>
      </c>
    </row>
    <row r="10" spans="1:4" ht="20.100000000000001" customHeight="1" x14ac:dyDescent="0.25">
      <c r="A10" s="14" t="s">
        <v>99</v>
      </c>
      <c r="B10" s="47">
        <v>3</v>
      </c>
      <c r="C10" s="47">
        <v>2</v>
      </c>
      <c r="D10" s="47">
        <v>1</v>
      </c>
    </row>
    <row r="11" spans="1:4" ht="20.100000000000001" customHeight="1" x14ac:dyDescent="0.25">
      <c r="A11" s="15" t="s">
        <v>7</v>
      </c>
      <c r="B11" s="47">
        <v>8</v>
      </c>
      <c r="C11" s="47">
        <v>0</v>
      </c>
      <c r="D11" s="47">
        <v>8</v>
      </c>
    </row>
    <row r="12" spans="1:4" ht="20.100000000000001" customHeight="1" x14ac:dyDescent="0.25">
      <c r="A12" s="15" t="s">
        <v>8</v>
      </c>
      <c r="B12" s="47">
        <v>1</v>
      </c>
      <c r="C12" s="47">
        <v>1</v>
      </c>
      <c r="D12" s="47">
        <v>0</v>
      </c>
    </row>
    <row r="13" spans="1:4" ht="20.100000000000001" customHeight="1" x14ac:dyDescent="0.25">
      <c r="A13" s="15" t="s">
        <v>9</v>
      </c>
      <c r="B13" s="47">
        <v>9</v>
      </c>
      <c r="C13" s="47">
        <v>0</v>
      </c>
      <c r="D13" s="47">
        <v>9</v>
      </c>
    </row>
    <row r="14" spans="1:4" ht="20.100000000000001" customHeight="1" x14ac:dyDescent="0.25">
      <c r="A14" s="15" t="s">
        <v>78</v>
      </c>
      <c r="B14" s="47">
        <v>1</v>
      </c>
      <c r="C14" s="47">
        <v>0</v>
      </c>
      <c r="D14" s="47">
        <v>1</v>
      </c>
    </row>
    <row r="15" spans="1:4" ht="20.100000000000001" customHeight="1" x14ac:dyDescent="0.25">
      <c r="A15" s="15" t="s">
        <v>11</v>
      </c>
      <c r="B15" s="47">
        <v>3</v>
      </c>
      <c r="C15" s="47">
        <v>0</v>
      </c>
      <c r="D15" s="47">
        <v>3</v>
      </c>
    </row>
    <row r="16" spans="1:4" ht="20.100000000000001" customHeight="1" x14ac:dyDescent="0.25">
      <c r="A16" s="15" t="s">
        <v>12</v>
      </c>
      <c r="B16" s="47">
        <v>4</v>
      </c>
      <c r="C16" s="47">
        <v>1</v>
      </c>
      <c r="D16" s="47">
        <v>3</v>
      </c>
    </row>
    <row r="17" spans="1:7" ht="20.100000000000001" customHeight="1" x14ac:dyDescent="0.25">
      <c r="A17" s="15" t="s">
        <v>13</v>
      </c>
      <c r="B17" s="47">
        <v>6</v>
      </c>
      <c r="C17" s="47">
        <v>0</v>
      </c>
      <c r="D17" s="47">
        <v>6</v>
      </c>
    </row>
    <row r="18" spans="1:7" ht="20.100000000000001" customHeight="1" x14ac:dyDescent="0.25">
      <c r="A18" s="15" t="s">
        <v>14</v>
      </c>
      <c r="B18" s="47">
        <v>2</v>
      </c>
      <c r="C18" s="47">
        <v>1</v>
      </c>
      <c r="D18" s="47">
        <v>1</v>
      </c>
    </row>
    <row r="19" spans="1:7" ht="20.100000000000001" customHeight="1" x14ac:dyDescent="0.25">
      <c r="A19" s="15" t="s">
        <v>15</v>
      </c>
      <c r="B19" s="47">
        <v>2</v>
      </c>
      <c r="C19" s="47">
        <v>0</v>
      </c>
      <c r="D19" s="47">
        <v>2</v>
      </c>
    </row>
    <row r="20" spans="1:7" ht="20.100000000000001" customHeight="1" thickBot="1" x14ac:dyDescent="0.3">
      <c r="A20" s="16" t="s">
        <v>16</v>
      </c>
      <c r="B20" s="48">
        <v>1</v>
      </c>
      <c r="C20" s="48">
        <v>0</v>
      </c>
      <c r="D20" s="48">
        <v>1</v>
      </c>
    </row>
    <row r="21" spans="1:7" ht="20.100000000000001" customHeight="1" thickTop="1" thickBot="1" x14ac:dyDescent="0.3">
      <c r="A21" s="85" t="s">
        <v>43</v>
      </c>
      <c r="B21" s="86">
        <f>SUM(B6:B20)</f>
        <v>43</v>
      </c>
      <c r="C21" s="86">
        <f>SUM(C5:C20)</f>
        <v>5</v>
      </c>
      <c r="D21" s="86">
        <f>SUM(D6:D20)</f>
        <v>38</v>
      </c>
    </row>
    <row r="22" spans="1:7" ht="20.100000000000001" customHeight="1" thickTop="1" thickBot="1" x14ac:dyDescent="0.3">
      <c r="A22" s="74" t="s">
        <v>72</v>
      </c>
      <c r="B22" s="94"/>
      <c r="C22" s="94"/>
      <c r="D22" s="94"/>
    </row>
    <row r="23" spans="1:7" ht="20.100000000000001" customHeight="1" thickTop="1" x14ac:dyDescent="0.25">
      <c r="A23" s="88" t="s">
        <v>79</v>
      </c>
      <c r="B23" s="99">
        <v>10</v>
      </c>
      <c r="C23" s="99">
        <v>7</v>
      </c>
      <c r="D23" s="99">
        <v>3</v>
      </c>
    </row>
    <row r="24" spans="1:7" ht="20.100000000000001" customHeight="1" x14ac:dyDescent="0.25">
      <c r="A24" s="15" t="s">
        <v>80</v>
      </c>
      <c r="B24" s="47">
        <v>5</v>
      </c>
      <c r="C24" s="47">
        <v>3</v>
      </c>
      <c r="D24" s="47">
        <v>2</v>
      </c>
    </row>
    <row r="25" spans="1:7" ht="20.100000000000001" customHeight="1" thickBot="1" x14ac:dyDescent="0.3">
      <c r="A25" s="16" t="s">
        <v>81</v>
      </c>
      <c r="B25" s="48">
        <v>15</v>
      </c>
      <c r="C25" s="48">
        <v>2</v>
      </c>
      <c r="D25" s="48">
        <v>13</v>
      </c>
    </row>
    <row r="26" spans="1:7" ht="20.100000000000001" customHeight="1" thickTop="1" thickBot="1" x14ac:dyDescent="0.3">
      <c r="A26" s="85" t="s">
        <v>43</v>
      </c>
      <c r="B26" s="106">
        <f>SUM(B23:B25)</f>
        <v>30</v>
      </c>
      <c r="C26" s="106">
        <f>SUM(C23:C25)</f>
        <v>12</v>
      </c>
      <c r="D26" s="106">
        <f>SUM(D23:D25)</f>
        <v>18</v>
      </c>
    </row>
    <row r="27" spans="1:7" ht="20.100000000000001" customHeight="1" thickTop="1" thickBot="1" x14ac:dyDescent="0.3">
      <c r="A27" s="74" t="s">
        <v>73</v>
      </c>
      <c r="B27" s="75">
        <f>B21+B26</f>
        <v>73</v>
      </c>
      <c r="C27" s="75">
        <f>C21+C26</f>
        <v>17</v>
      </c>
      <c r="D27" s="75">
        <f>D21+D26</f>
        <v>56</v>
      </c>
    </row>
    <row r="28" spans="1:7" ht="6" customHeight="1" thickTop="1" x14ac:dyDescent="0.25">
      <c r="A28" s="96"/>
      <c r="B28" s="36"/>
      <c r="C28" s="9"/>
      <c r="D28" s="10"/>
    </row>
    <row r="29" spans="1:7" ht="12.75" customHeight="1" x14ac:dyDescent="0.25">
      <c r="A29" s="185" t="s">
        <v>56</v>
      </c>
      <c r="B29" s="185"/>
      <c r="C29" s="185"/>
      <c r="D29" s="185"/>
    </row>
    <row r="30" spans="1:7" ht="3.75" customHeight="1" x14ac:dyDescent="0.25">
      <c r="A30" s="104"/>
      <c r="B30" s="104"/>
      <c r="C30" s="104"/>
      <c r="D30" s="104"/>
      <c r="E30" s="104"/>
      <c r="F30" s="104"/>
      <c r="G30" s="104"/>
    </row>
    <row r="31" spans="1:7" ht="14.25" customHeight="1" x14ac:dyDescent="0.25">
      <c r="A31" s="185" t="s">
        <v>82</v>
      </c>
      <c r="B31" s="185"/>
      <c r="C31" s="185"/>
      <c r="D31" s="185"/>
      <c r="E31" s="185"/>
      <c r="F31" s="185"/>
      <c r="G31" s="185"/>
    </row>
    <row r="32" spans="1:7" ht="10.5" customHeight="1" x14ac:dyDescent="0.25">
      <c r="A32" s="203"/>
      <c r="B32" s="203"/>
      <c r="C32" s="203"/>
      <c r="D32" s="203"/>
    </row>
    <row r="33" spans="1:4" ht="17.25" customHeight="1" x14ac:dyDescent="0.25">
      <c r="A33" s="183" t="s">
        <v>55</v>
      </c>
      <c r="B33" s="183"/>
      <c r="C33" s="183"/>
      <c r="D33" s="173">
        <v>87</v>
      </c>
    </row>
  </sheetData>
  <mergeCells count="8">
    <mergeCell ref="A33:C33"/>
    <mergeCell ref="A32:D32"/>
    <mergeCell ref="A1:D1"/>
    <mergeCell ref="A3:A4"/>
    <mergeCell ref="C3:D3"/>
    <mergeCell ref="B3:B4"/>
    <mergeCell ref="A31:G31"/>
    <mergeCell ref="A29:D29"/>
  </mergeCells>
  <printOptions horizontalCentered="1"/>
  <pageMargins left="0.51181102362204722" right="0.51181102362204722" top="0.59055118110236227" bottom="0.19685039370078741" header="0.31496062992125984" footer="0.31496062992125984"/>
  <pageSetup paperSize="9" scale="85" orientation="landscape" r:id="rId1"/>
  <ignoredErrors>
    <ignoredError sqref="C2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3"/>
  <sheetViews>
    <sheetView rightToLeft="1" tabSelected="1" view="pageBreakPreview" topLeftCell="A16" zoomScale="140" zoomScaleSheetLayoutView="140" workbookViewId="0">
      <selection activeCell="A25" sqref="A25:B25"/>
    </sheetView>
  </sheetViews>
  <sheetFormatPr defaultColWidth="11.5703125" defaultRowHeight="15.75" x14ac:dyDescent="0.25"/>
  <cols>
    <col min="1" max="1" width="23.28515625" style="23" customWidth="1"/>
    <col min="2" max="2" width="48.42578125" style="23" customWidth="1"/>
    <col min="3" max="3" width="12.28515625" style="23" customWidth="1"/>
    <col min="4" max="4" width="11.5703125" style="23" customWidth="1"/>
    <col min="5" max="5" width="20.140625" style="23" customWidth="1"/>
    <col min="6" max="6" width="14.42578125" style="23" customWidth="1"/>
    <col min="7" max="7" width="15.42578125" style="23" customWidth="1"/>
    <col min="8" max="252" width="11.5703125" style="23"/>
    <col min="253" max="253" width="23.28515625" style="23" customWidth="1"/>
    <col min="254" max="254" width="21.42578125" style="23" customWidth="1"/>
    <col min="255" max="255" width="12.5703125" style="23" customWidth="1"/>
    <col min="256" max="256" width="14.7109375" style="23" customWidth="1"/>
    <col min="257" max="257" width="16.28515625" style="23" customWidth="1"/>
    <col min="258" max="258" width="30.85546875" style="23" customWidth="1"/>
    <col min="259" max="262" width="4" style="23" customWidth="1"/>
    <col min="263" max="508" width="11.5703125" style="23"/>
    <col min="509" max="509" width="23.28515625" style="23" customWidth="1"/>
    <col min="510" max="510" width="21.42578125" style="23" customWidth="1"/>
    <col min="511" max="511" width="12.5703125" style="23" customWidth="1"/>
    <col min="512" max="512" width="14.7109375" style="23" customWidth="1"/>
    <col min="513" max="513" width="16.28515625" style="23" customWidth="1"/>
    <col min="514" max="514" width="30.85546875" style="23" customWidth="1"/>
    <col min="515" max="518" width="4" style="23" customWidth="1"/>
    <col min="519" max="764" width="11.5703125" style="23"/>
    <col min="765" max="765" width="23.28515625" style="23" customWidth="1"/>
    <col min="766" max="766" width="21.42578125" style="23" customWidth="1"/>
    <col min="767" max="767" width="12.5703125" style="23" customWidth="1"/>
    <col min="768" max="768" width="14.7109375" style="23" customWidth="1"/>
    <col min="769" max="769" width="16.28515625" style="23" customWidth="1"/>
    <col min="770" max="770" width="30.85546875" style="23" customWidth="1"/>
    <col min="771" max="774" width="4" style="23" customWidth="1"/>
    <col min="775" max="1020" width="11.5703125" style="23"/>
    <col min="1021" max="1021" width="23.28515625" style="23" customWidth="1"/>
    <col min="1022" max="1022" width="21.42578125" style="23" customWidth="1"/>
    <col min="1023" max="1023" width="12.5703125" style="23" customWidth="1"/>
    <col min="1024" max="1024" width="14.7109375" style="23" customWidth="1"/>
    <col min="1025" max="1025" width="16.28515625" style="23" customWidth="1"/>
    <col min="1026" max="1026" width="30.85546875" style="23" customWidth="1"/>
    <col min="1027" max="1030" width="4" style="23" customWidth="1"/>
    <col min="1031" max="1276" width="11.5703125" style="23"/>
    <col min="1277" max="1277" width="23.28515625" style="23" customWidth="1"/>
    <col min="1278" max="1278" width="21.42578125" style="23" customWidth="1"/>
    <col min="1279" max="1279" width="12.5703125" style="23" customWidth="1"/>
    <col min="1280" max="1280" width="14.7109375" style="23" customWidth="1"/>
    <col min="1281" max="1281" width="16.28515625" style="23" customWidth="1"/>
    <col min="1282" max="1282" width="30.85546875" style="23" customWidth="1"/>
    <col min="1283" max="1286" width="4" style="23" customWidth="1"/>
    <col min="1287" max="1532" width="11.5703125" style="23"/>
    <col min="1533" max="1533" width="23.28515625" style="23" customWidth="1"/>
    <col min="1534" max="1534" width="21.42578125" style="23" customWidth="1"/>
    <col min="1535" max="1535" width="12.5703125" style="23" customWidth="1"/>
    <col min="1536" max="1536" width="14.7109375" style="23" customWidth="1"/>
    <col min="1537" max="1537" width="16.28515625" style="23" customWidth="1"/>
    <col min="1538" max="1538" width="30.85546875" style="23" customWidth="1"/>
    <col min="1539" max="1542" width="4" style="23" customWidth="1"/>
    <col min="1543" max="1788" width="11.5703125" style="23"/>
    <col min="1789" max="1789" width="23.28515625" style="23" customWidth="1"/>
    <col min="1790" max="1790" width="21.42578125" style="23" customWidth="1"/>
    <col min="1791" max="1791" width="12.5703125" style="23" customWidth="1"/>
    <col min="1792" max="1792" width="14.7109375" style="23" customWidth="1"/>
    <col min="1793" max="1793" width="16.28515625" style="23" customWidth="1"/>
    <col min="1794" max="1794" width="30.85546875" style="23" customWidth="1"/>
    <col min="1795" max="1798" width="4" style="23" customWidth="1"/>
    <col min="1799" max="2044" width="11.5703125" style="23"/>
    <col min="2045" max="2045" width="23.28515625" style="23" customWidth="1"/>
    <col min="2046" max="2046" width="21.42578125" style="23" customWidth="1"/>
    <col min="2047" max="2047" width="12.5703125" style="23" customWidth="1"/>
    <col min="2048" max="2048" width="14.7109375" style="23" customWidth="1"/>
    <col min="2049" max="2049" width="16.28515625" style="23" customWidth="1"/>
    <col min="2050" max="2050" width="30.85546875" style="23" customWidth="1"/>
    <col min="2051" max="2054" width="4" style="23" customWidth="1"/>
    <col min="2055" max="2300" width="11.5703125" style="23"/>
    <col min="2301" max="2301" width="23.28515625" style="23" customWidth="1"/>
    <col min="2302" max="2302" width="21.42578125" style="23" customWidth="1"/>
    <col min="2303" max="2303" width="12.5703125" style="23" customWidth="1"/>
    <col min="2304" max="2304" width="14.7109375" style="23" customWidth="1"/>
    <col min="2305" max="2305" width="16.28515625" style="23" customWidth="1"/>
    <col min="2306" max="2306" width="30.85546875" style="23" customWidth="1"/>
    <col min="2307" max="2310" width="4" style="23" customWidth="1"/>
    <col min="2311" max="2556" width="11.5703125" style="23"/>
    <col min="2557" max="2557" width="23.28515625" style="23" customWidth="1"/>
    <col min="2558" max="2558" width="21.42578125" style="23" customWidth="1"/>
    <col min="2559" max="2559" width="12.5703125" style="23" customWidth="1"/>
    <col min="2560" max="2560" width="14.7109375" style="23" customWidth="1"/>
    <col min="2561" max="2561" width="16.28515625" style="23" customWidth="1"/>
    <col min="2562" max="2562" width="30.85546875" style="23" customWidth="1"/>
    <col min="2563" max="2566" width="4" style="23" customWidth="1"/>
    <col min="2567" max="2812" width="11.5703125" style="23"/>
    <col min="2813" max="2813" width="23.28515625" style="23" customWidth="1"/>
    <col min="2814" max="2814" width="21.42578125" style="23" customWidth="1"/>
    <col min="2815" max="2815" width="12.5703125" style="23" customWidth="1"/>
    <col min="2816" max="2816" width="14.7109375" style="23" customWidth="1"/>
    <col min="2817" max="2817" width="16.28515625" style="23" customWidth="1"/>
    <col min="2818" max="2818" width="30.85546875" style="23" customWidth="1"/>
    <col min="2819" max="2822" width="4" style="23" customWidth="1"/>
    <col min="2823" max="3068" width="11.5703125" style="23"/>
    <col min="3069" max="3069" width="23.28515625" style="23" customWidth="1"/>
    <col min="3070" max="3070" width="21.42578125" style="23" customWidth="1"/>
    <col min="3071" max="3071" width="12.5703125" style="23" customWidth="1"/>
    <col min="3072" max="3072" width="14.7109375" style="23" customWidth="1"/>
    <col min="3073" max="3073" width="16.28515625" style="23" customWidth="1"/>
    <col min="3074" max="3074" width="30.85546875" style="23" customWidth="1"/>
    <col min="3075" max="3078" width="4" style="23" customWidth="1"/>
    <col min="3079" max="3324" width="11.5703125" style="23"/>
    <col min="3325" max="3325" width="23.28515625" style="23" customWidth="1"/>
    <col min="3326" max="3326" width="21.42578125" style="23" customWidth="1"/>
    <col min="3327" max="3327" width="12.5703125" style="23" customWidth="1"/>
    <col min="3328" max="3328" width="14.7109375" style="23" customWidth="1"/>
    <col min="3329" max="3329" width="16.28515625" style="23" customWidth="1"/>
    <col min="3330" max="3330" width="30.85546875" style="23" customWidth="1"/>
    <col min="3331" max="3334" width="4" style="23" customWidth="1"/>
    <col min="3335" max="3580" width="11.5703125" style="23"/>
    <col min="3581" max="3581" width="23.28515625" style="23" customWidth="1"/>
    <col min="3582" max="3582" width="21.42578125" style="23" customWidth="1"/>
    <col min="3583" max="3583" width="12.5703125" style="23" customWidth="1"/>
    <col min="3584" max="3584" width="14.7109375" style="23" customWidth="1"/>
    <col min="3585" max="3585" width="16.28515625" style="23" customWidth="1"/>
    <col min="3586" max="3586" width="30.85546875" style="23" customWidth="1"/>
    <col min="3587" max="3590" width="4" style="23" customWidth="1"/>
    <col min="3591" max="3836" width="11.5703125" style="23"/>
    <col min="3837" max="3837" width="23.28515625" style="23" customWidth="1"/>
    <col min="3838" max="3838" width="21.42578125" style="23" customWidth="1"/>
    <col min="3839" max="3839" width="12.5703125" style="23" customWidth="1"/>
    <col min="3840" max="3840" width="14.7109375" style="23" customWidth="1"/>
    <col min="3841" max="3841" width="16.28515625" style="23" customWidth="1"/>
    <col min="3842" max="3842" width="30.85546875" style="23" customWidth="1"/>
    <col min="3843" max="3846" width="4" style="23" customWidth="1"/>
    <col min="3847" max="4092" width="11.5703125" style="23"/>
    <col min="4093" max="4093" width="23.28515625" style="23" customWidth="1"/>
    <col min="4094" max="4094" width="21.42578125" style="23" customWidth="1"/>
    <col min="4095" max="4095" width="12.5703125" style="23" customWidth="1"/>
    <col min="4096" max="4096" width="14.7109375" style="23" customWidth="1"/>
    <col min="4097" max="4097" width="16.28515625" style="23" customWidth="1"/>
    <col min="4098" max="4098" width="30.85546875" style="23" customWidth="1"/>
    <col min="4099" max="4102" width="4" style="23" customWidth="1"/>
    <col min="4103" max="4348" width="11.5703125" style="23"/>
    <col min="4349" max="4349" width="23.28515625" style="23" customWidth="1"/>
    <col min="4350" max="4350" width="21.42578125" style="23" customWidth="1"/>
    <col min="4351" max="4351" width="12.5703125" style="23" customWidth="1"/>
    <col min="4352" max="4352" width="14.7109375" style="23" customWidth="1"/>
    <col min="4353" max="4353" width="16.28515625" style="23" customWidth="1"/>
    <col min="4354" max="4354" width="30.85546875" style="23" customWidth="1"/>
    <col min="4355" max="4358" width="4" style="23" customWidth="1"/>
    <col min="4359" max="4604" width="11.5703125" style="23"/>
    <col min="4605" max="4605" width="23.28515625" style="23" customWidth="1"/>
    <col min="4606" max="4606" width="21.42578125" style="23" customWidth="1"/>
    <col min="4607" max="4607" width="12.5703125" style="23" customWidth="1"/>
    <col min="4608" max="4608" width="14.7109375" style="23" customWidth="1"/>
    <col min="4609" max="4609" width="16.28515625" style="23" customWidth="1"/>
    <col min="4610" max="4610" width="30.85546875" style="23" customWidth="1"/>
    <col min="4611" max="4614" width="4" style="23" customWidth="1"/>
    <col min="4615" max="4860" width="11.5703125" style="23"/>
    <col min="4861" max="4861" width="23.28515625" style="23" customWidth="1"/>
    <col min="4862" max="4862" width="21.42578125" style="23" customWidth="1"/>
    <col min="4863" max="4863" width="12.5703125" style="23" customWidth="1"/>
    <col min="4864" max="4864" width="14.7109375" style="23" customWidth="1"/>
    <col min="4865" max="4865" width="16.28515625" style="23" customWidth="1"/>
    <col min="4866" max="4866" width="30.85546875" style="23" customWidth="1"/>
    <col min="4867" max="4870" width="4" style="23" customWidth="1"/>
    <col min="4871" max="5116" width="11.5703125" style="23"/>
    <col min="5117" max="5117" width="23.28515625" style="23" customWidth="1"/>
    <col min="5118" max="5118" width="21.42578125" style="23" customWidth="1"/>
    <col min="5119" max="5119" width="12.5703125" style="23" customWidth="1"/>
    <col min="5120" max="5120" width="14.7109375" style="23" customWidth="1"/>
    <col min="5121" max="5121" width="16.28515625" style="23" customWidth="1"/>
    <col min="5122" max="5122" width="30.85546875" style="23" customWidth="1"/>
    <col min="5123" max="5126" width="4" style="23" customWidth="1"/>
    <col min="5127" max="5372" width="11.5703125" style="23"/>
    <col min="5373" max="5373" width="23.28515625" style="23" customWidth="1"/>
    <col min="5374" max="5374" width="21.42578125" style="23" customWidth="1"/>
    <col min="5375" max="5375" width="12.5703125" style="23" customWidth="1"/>
    <col min="5376" max="5376" width="14.7109375" style="23" customWidth="1"/>
    <col min="5377" max="5377" width="16.28515625" style="23" customWidth="1"/>
    <col min="5378" max="5378" width="30.85546875" style="23" customWidth="1"/>
    <col min="5379" max="5382" width="4" style="23" customWidth="1"/>
    <col min="5383" max="5628" width="11.5703125" style="23"/>
    <col min="5629" max="5629" width="23.28515625" style="23" customWidth="1"/>
    <col min="5630" max="5630" width="21.42578125" style="23" customWidth="1"/>
    <col min="5631" max="5631" width="12.5703125" style="23" customWidth="1"/>
    <col min="5632" max="5632" width="14.7109375" style="23" customWidth="1"/>
    <col min="5633" max="5633" width="16.28515625" style="23" customWidth="1"/>
    <col min="5634" max="5634" width="30.85546875" style="23" customWidth="1"/>
    <col min="5635" max="5638" width="4" style="23" customWidth="1"/>
    <col min="5639" max="5884" width="11.5703125" style="23"/>
    <col min="5885" max="5885" width="23.28515625" style="23" customWidth="1"/>
    <col min="5886" max="5886" width="21.42578125" style="23" customWidth="1"/>
    <col min="5887" max="5887" width="12.5703125" style="23" customWidth="1"/>
    <col min="5888" max="5888" width="14.7109375" style="23" customWidth="1"/>
    <col min="5889" max="5889" width="16.28515625" style="23" customWidth="1"/>
    <col min="5890" max="5890" width="30.85546875" style="23" customWidth="1"/>
    <col min="5891" max="5894" width="4" style="23" customWidth="1"/>
    <col min="5895" max="6140" width="11.5703125" style="23"/>
    <col min="6141" max="6141" width="23.28515625" style="23" customWidth="1"/>
    <col min="6142" max="6142" width="21.42578125" style="23" customWidth="1"/>
    <col min="6143" max="6143" width="12.5703125" style="23" customWidth="1"/>
    <col min="6144" max="6144" width="14.7109375" style="23" customWidth="1"/>
    <col min="6145" max="6145" width="16.28515625" style="23" customWidth="1"/>
    <col min="6146" max="6146" width="30.85546875" style="23" customWidth="1"/>
    <col min="6147" max="6150" width="4" style="23" customWidth="1"/>
    <col min="6151" max="6396" width="11.5703125" style="23"/>
    <col min="6397" max="6397" width="23.28515625" style="23" customWidth="1"/>
    <col min="6398" max="6398" width="21.42578125" style="23" customWidth="1"/>
    <col min="6399" max="6399" width="12.5703125" style="23" customWidth="1"/>
    <col min="6400" max="6400" width="14.7109375" style="23" customWidth="1"/>
    <col min="6401" max="6401" width="16.28515625" style="23" customWidth="1"/>
    <col min="6402" max="6402" width="30.85546875" style="23" customWidth="1"/>
    <col min="6403" max="6406" width="4" style="23" customWidth="1"/>
    <col min="6407" max="6652" width="11.5703125" style="23"/>
    <col min="6653" max="6653" width="23.28515625" style="23" customWidth="1"/>
    <col min="6654" max="6654" width="21.42578125" style="23" customWidth="1"/>
    <col min="6655" max="6655" width="12.5703125" style="23" customWidth="1"/>
    <col min="6656" max="6656" width="14.7109375" style="23" customWidth="1"/>
    <col min="6657" max="6657" width="16.28515625" style="23" customWidth="1"/>
    <col min="6658" max="6658" width="30.85546875" style="23" customWidth="1"/>
    <col min="6659" max="6662" width="4" style="23" customWidth="1"/>
    <col min="6663" max="6908" width="11.5703125" style="23"/>
    <col min="6909" max="6909" width="23.28515625" style="23" customWidth="1"/>
    <col min="6910" max="6910" width="21.42578125" style="23" customWidth="1"/>
    <col min="6911" max="6911" width="12.5703125" style="23" customWidth="1"/>
    <col min="6912" max="6912" width="14.7109375" style="23" customWidth="1"/>
    <col min="6913" max="6913" width="16.28515625" style="23" customWidth="1"/>
    <col min="6914" max="6914" width="30.85546875" style="23" customWidth="1"/>
    <col min="6915" max="6918" width="4" style="23" customWidth="1"/>
    <col min="6919" max="7164" width="11.5703125" style="23"/>
    <col min="7165" max="7165" width="23.28515625" style="23" customWidth="1"/>
    <col min="7166" max="7166" width="21.42578125" style="23" customWidth="1"/>
    <col min="7167" max="7167" width="12.5703125" style="23" customWidth="1"/>
    <col min="7168" max="7168" width="14.7109375" style="23" customWidth="1"/>
    <col min="7169" max="7169" width="16.28515625" style="23" customWidth="1"/>
    <col min="7170" max="7170" width="30.85546875" style="23" customWidth="1"/>
    <col min="7171" max="7174" width="4" style="23" customWidth="1"/>
    <col min="7175" max="7420" width="11.5703125" style="23"/>
    <col min="7421" max="7421" width="23.28515625" style="23" customWidth="1"/>
    <col min="7422" max="7422" width="21.42578125" style="23" customWidth="1"/>
    <col min="7423" max="7423" width="12.5703125" style="23" customWidth="1"/>
    <col min="7424" max="7424" width="14.7109375" style="23" customWidth="1"/>
    <col min="7425" max="7425" width="16.28515625" style="23" customWidth="1"/>
    <col min="7426" max="7426" width="30.85546875" style="23" customWidth="1"/>
    <col min="7427" max="7430" width="4" style="23" customWidth="1"/>
    <col min="7431" max="7676" width="11.5703125" style="23"/>
    <col min="7677" max="7677" width="23.28515625" style="23" customWidth="1"/>
    <col min="7678" max="7678" width="21.42578125" style="23" customWidth="1"/>
    <col min="7679" max="7679" width="12.5703125" style="23" customWidth="1"/>
    <col min="7680" max="7680" width="14.7109375" style="23" customWidth="1"/>
    <col min="7681" max="7681" width="16.28515625" style="23" customWidth="1"/>
    <col min="7682" max="7682" width="30.85546875" style="23" customWidth="1"/>
    <col min="7683" max="7686" width="4" style="23" customWidth="1"/>
    <col min="7687" max="7932" width="11.5703125" style="23"/>
    <col min="7933" max="7933" width="23.28515625" style="23" customWidth="1"/>
    <col min="7934" max="7934" width="21.42578125" style="23" customWidth="1"/>
    <col min="7935" max="7935" width="12.5703125" style="23" customWidth="1"/>
    <col min="7936" max="7936" width="14.7109375" style="23" customWidth="1"/>
    <col min="7937" max="7937" width="16.28515625" style="23" customWidth="1"/>
    <col min="7938" max="7938" width="30.85546875" style="23" customWidth="1"/>
    <col min="7939" max="7942" width="4" style="23" customWidth="1"/>
    <col min="7943" max="8188" width="11.5703125" style="23"/>
    <col min="8189" max="8189" width="23.28515625" style="23" customWidth="1"/>
    <col min="8190" max="8190" width="21.42578125" style="23" customWidth="1"/>
    <col min="8191" max="8191" width="12.5703125" style="23" customWidth="1"/>
    <col min="8192" max="8192" width="14.7109375" style="23" customWidth="1"/>
    <col min="8193" max="8193" width="16.28515625" style="23" customWidth="1"/>
    <col min="8194" max="8194" width="30.85546875" style="23" customWidth="1"/>
    <col min="8195" max="8198" width="4" style="23" customWidth="1"/>
    <col min="8199" max="8444" width="11.5703125" style="23"/>
    <col min="8445" max="8445" width="23.28515625" style="23" customWidth="1"/>
    <col min="8446" max="8446" width="21.42578125" style="23" customWidth="1"/>
    <col min="8447" max="8447" width="12.5703125" style="23" customWidth="1"/>
    <col min="8448" max="8448" width="14.7109375" style="23" customWidth="1"/>
    <col min="8449" max="8449" width="16.28515625" style="23" customWidth="1"/>
    <col min="8450" max="8450" width="30.85546875" style="23" customWidth="1"/>
    <col min="8451" max="8454" width="4" style="23" customWidth="1"/>
    <col min="8455" max="8700" width="11.5703125" style="23"/>
    <col min="8701" max="8701" width="23.28515625" style="23" customWidth="1"/>
    <col min="8702" max="8702" width="21.42578125" style="23" customWidth="1"/>
    <col min="8703" max="8703" width="12.5703125" style="23" customWidth="1"/>
    <col min="8704" max="8704" width="14.7109375" style="23" customWidth="1"/>
    <col min="8705" max="8705" width="16.28515625" style="23" customWidth="1"/>
    <col min="8706" max="8706" width="30.85546875" style="23" customWidth="1"/>
    <col min="8707" max="8710" width="4" style="23" customWidth="1"/>
    <col min="8711" max="8956" width="11.5703125" style="23"/>
    <col min="8957" max="8957" width="23.28515625" style="23" customWidth="1"/>
    <col min="8958" max="8958" width="21.42578125" style="23" customWidth="1"/>
    <col min="8959" max="8959" width="12.5703125" style="23" customWidth="1"/>
    <col min="8960" max="8960" width="14.7109375" style="23" customWidth="1"/>
    <col min="8961" max="8961" width="16.28515625" style="23" customWidth="1"/>
    <col min="8962" max="8962" width="30.85546875" style="23" customWidth="1"/>
    <col min="8963" max="8966" width="4" style="23" customWidth="1"/>
    <col min="8967" max="9212" width="11.5703125" style="23"/>
    <col min="9213" max="9213" width="23.28515625" style="23" customWidth="1"/>
    <col min="9214" max="9214" width="21.42578125" style="23" customWidth="1"/>
    <col min="9215" max="9215" width="12.5703125" style="23" customWidth="1"/>
    <col min="9216" max="9216" width="14.7109375" style="23" customWidth="1"/>
    <col min="9217" max="9217" width="16.28515625" style="23" customWidth="1"/>
    <col min="9218" max="9218" width="30.85546875" style="23" customWidth="1"/>
    <col min="9219" max="9222" width="4" style="23" customWidth="1"/>
    <col min="9223" max="9468" width="11.5703125" style="23"/>
    <col min="9469" max="9469" width="23.28515625" style="23" customWidth="1"/>
    <col min="9470" max="9470" width="21.42578125" style="23" customWidth="1"/>
    <col min="9471" max="9471" width="12.5703125" style="23" customWidth="1"/>
    <col min="9472" max="9472" width="14.7109375" style="23" customWidth="1"/>
    <col min="9473" max="9473" width="16.28515625" style="23" customWidth="1"/>
    <col min="9474" max="9474" width="30.85546875" style="23" customWidth="1"/>
    <col min="9475" max="9478" width="4" style="23" customWidth="1"/>
    <col min="9479" max="9724" width="11.5703125" style="23"/>
    <col min="9725" max="9725" width="23.28515625" style="23" customWidth="1"/>
    <col min="9726" max="9726" width="21.42578125" style="23" customWidth="1"/>
    <col min="9727" max="9727" width="12.5703125" style="23" customWidth="1"/>
    <col min="9728" max="9728" width="14.7109375" style="23" customWidth="1"/>
    <col min="9729" max="9729" width="16.28515625" style="23" customWidth="1"/>
    <col min="9730" max="9730" width="30.85546875" style="23" customWidth="1"/>
    <col min="9731" max="9734" width="4" style="23" customWidth="1"/>
    <col min="9735" max="9980" width="11.5703125" style="23"/>
    <col min="9981" max="9981" width="23.28515625" style="23" customWidth="1"/>
    <col min="9982" max="9982" width="21.42578125" style="23" customWidth="1"/>
    <col min="9983" max="9983" width="12.5703125" style="23" customWidth="1"/>
    <col min="9984" max="9984" width="14.7109375" style="23" customWidth="1"/>
    <col min="9985" max="9985" width="16.28515625" style="23" customWidth="1"/>
    <col min="9986" max="9986" width="30.85546875" style="23" customWidth="1"/>
    <col min="9987" max="9990" width="4" style="23" customWidth="1"/>
    <col min="9991" max="10236" width="11.5703125" style="23"/>
    <col min="10237" max="10237" width="23.28515625" style="23" customWidth="1"/>
    <col min="10238" max="10238" width="21.42578125" style="23" customWidth="1"/>
    <col min="10239" max="10239" width="12.5703125" style="23" customWidth="1"/>
    <col min="10240" max="10240" width="14.7109375" style="23" customWidth="1"/>
    <col min="10241" max="10241" width="16.28515625" style="23" customWidth="1"/>
    <col min="10242" max="10242" width="30.85546875" style="23" customWidth="1"/>
    <col min="10243" max="10246" width="4" style="23" customWidth="1"/>
    <col min="10247" max="10492" width="11.5703125" style="23"/>
    <col min="10493" max="10493" width="23.28515625" style="23" customWidth="1"/>
    <col min="10494" max="10494" width="21.42578125" style="23" customWidth="1"/>
    <col min="10495" max="10495" width="12.5703125" style="23" customWidth="1"/>
    <col min="10496" max="10496" width="14.7109375" style="23" customWidth="1"/>
    <col min="10497" max="10497" width="16.28515625" style="23" customWidth="1"/>
    <col min="10498" max="10498" width="30.85546875" style="23" customWidth="1"/>
    <col min="10499" max="10502" width="4" style="23" customWidth="1"/>
    <col min="10503" max="10748" width="11.5703125" style="23"/>
    <col min="10749" max="10749" width="23.28515625" style="23" customWidth="1"/>
    <col min="10750" max="10750" width="21.42578125" style="23" customWidth="1"/>
    <col min="10751" max="10751" width="12.5703125" style="23" customWidth="1"/>
    <col min="10752" max="10752" width="14.7109375" style="23" customWidth="1"/>
    <col min="10753" max="10753" width="16.28515625" style="23" customWidth="1"/>
    <col min="10754" max="10754" width="30.85546875" style="23" customWidth="1"/>
    <col min="10755" max="10758" width="4" style="23" customWidth="1"/>
    <col min="10759" max="11004" width="11.5703125" style="23"/>
    <col min="11005" max="11005" width="23.28515625" style="23" customWidth="1"/>
    <col min="11006" max="11006" width="21.42578125" style="23" customWidth="1"/>
    <col min="11007" max="11007" width="12.5703125" style="23" customWidth="1"/>
    <col min="11008" max="11008" width="14.7109375" style="23" customWidth="1"/>
    <col min="11009" max="11009" width="16.28515625" style="23" customWidth="1"/>
    <col min="11010" max="11010" width="30.85546875" style="23" customWidth="1"/>
    <col min="11011" max="11014" width="4" style="23" customWidth="1"/>
    <col min="11015" max="11260" width="11.5703125" style="23"/>
    <col min="11261" max="11261" width="23.28515625" style="23" customWidth="1"/>
    <col min="11262" max="11262" width="21.42578125" style="23" customWidth="1"/>
    <col min="11263" max="11263" width="12.5703125" style="23" customWidth="1"/>
    <col min="11264" max="11264" width="14.7109375" style="23" customWidth="1"/>
    <col min="11265" max="11265" width="16.28515625" style="23" customWidth="1"/>
    <col min="11266" max="11266" width="30.85546875" style="23" customWidth="1"/>
    <col min="11267" max="11270" width="4" style="23" customWidth="1"/>
    <col min="11271" max="11516" width="11.5703125" style="23"/>
    <col min="11517" max="11517" width="23.28515625" style="23" customWidth="1"/>
    <col min="11518" max="11518" width="21.42578125" style="23" customWidth="1"/>
    <col min="11519" max="11519" width="12.5703125" style="23" customWidth="1"/>
    <col min="11520" max="11520" width="14.7109375" style="23" customWidth="1"/>
    <col min="11521" max="11521" width="16.28515625" style="23" customWidth="1"/>
    <col min="11522" max="11522" width="30.85546875" style="23" customWidth="1"/>
    <col min="11523" max="11526" width="4" style="23" customWidth="1"/>
    <col min="11527" max="11772" width="11.5703125" style="23"/>
    <col min="11773" max="11773" width="23.28515625" style="23" customWidth="1"/>
    <col min="11774" max="11774" width="21.42578125" style="23" customWidth="1"/>
    <col min="11775" max="11775" width="12.5703125" style="23" customWidth="1"/>
    <col min="11776" max="11776" width="14.7109375" style="23" customWidth="1"/>
    <col min="11777" max="11777" width="16.28515625" style="23" customWidth="1"/>
    <col min="11778" max="11778" width="30.85546875" style="23" customWidth="1"/>
    <col min="11779" max="11782" width="4" style="23" customWidth="1"/>
    <col min="11783" max="12028" width="11.5703125" style="23"/>
    <col min="12029" max="12029" width="23.28515625" style="23" customWidth="1"/>
    <col min="12030" max="12030" width="21.42578125" style="23" customWidth="1"/>
    <col min="12031" max="12031" width="12.5703125" style="23" customWidth="1"/>
    <col min="12032" max="12032" width="14.7109375" style="23" customWidth="1"/>
    <col min="12033" max="12033" width="16.28515625" style="23" customWidth="1"/>
    <col min="12034" max="12034" width="30.85546875" style="23" customWidth="1"/>
    <col min="12035" max="12038" width="4" style="23" customWidth="1"/>
    <col min="12039" max="12284" width="11.5703125" style="23"/>
    <col min="12285" max="12285" width="23.28515625" style="23" customWidth="1"/>
    <col min="12286" max="12286" width="21.42578125" style="23" customWidth="1"/>
    <col min="12287" max="12287" width="12.5703125" style="23" customWidth="1"/>
    <col min="12288" max="12288" width="14.7109375" style="23" customWidth="1"/>
    <col min="12289" max="12289" width="16.28515625" style="23" customWidth="1"/>
    <col min="12290" max="12290" width="30.85546875" style="23" customWidth="1"/>
    <col min="12291" max="12294" width="4" style="23" customWidth="1"/>
    <col min="12295" max="12540" width="11.5703125" style="23"/>
    <col min="12541" max="12541" width="23.28515625" style="23" customWidth="1"/>
    <col min="12542" max="12542" width="21.42578125" style="23" customWidth="1"/>
    <col min="12543" max="12543" width="12.5703125" style="23" customWidth="1"/>
    <col min="12544" max="12544" width="14.7109375" style="23" customWidth="1"/>
    <col min="12545" max="12545" width="16.28515625" style="23" customWidth="1"/>
    <col min="12546" max="12546" width="30.85546875" style="23" customWidth="1"/>
    <col min="12547" max="12550" width="4" style="23" customWidth="1"/>
    <col min="12551" max="12796" width="11.5703125" style="23"/>
    <col min="12797" max="12797" width="23.28515625" style="23" customWidth="1"/>
    <col min="12798" max="12798" width="21.42578125" style="23" customWidth="1"/>
    <col min="12799" max="12799" width="12.5703125" style="23" customWidth="1"/>
    <col min="12800" max="12800" width="14.7109375" style="23" customWidth="1"/>
    <col min="12801" max="12801" width="16.28515625" style="23" customWidth="1"/>
    <col min="12802" max="12802" width="30.85546875" style="23" customWidth="1"/>
    <col min="12803" max="12806" width="4" style="23" customWidth="1"/>
    <col min="12807" max="13052" width="11.5703125" style="23"/>
    <col min="13053" max="13053" width="23.28515625" style="23" customWidth="1"/>
    <col min="13054" max="13054" width="21.42578125" style="23" customWidth="1"/>
    <col min="13055" max="13055" width="12.5703125" style="23" customWidth="1"/>
    <col min="13056" max="13056" width="14.7109375" style="23" customWidth="1"/>
    <col min="13057" max="13057" width="16.28515625" style="23" customWidth="1"/>
    <col min="13058" max="13058" width="30.85546875" style="23" customWidth="1"/>
    <col min="13059" max="13062" width="4" style="23" customWidth="1"/>
    <col min="13063" max="13308" width="11.5703125" style="23"/>
    <col min="13309" max="13309" width="23.28515625" style="23" customWidth="1"/>
    <col min="13310" max="13310" width="21.42578125" style="23" customWidth="1"/>
    <col min="13311" max="13311" width="12.5703125" style="23" customWidth="1"/>
    <col min="13312" max="13312" width="14.7109375" style="23" customWidth="1"/>
    <col min="13313" max="13313" width="16.28515625" style="23" customWidth="1"/>
    <col min="13314" max="13314" width="30.85546875" style="23" customWidth="1"/>
    <col min="13315" max="13318" width="4" style="23" customWidth="1"/>
    <col min="13319" max="13564" width="11.5703125" style="23"/>
    <col min="13565" max="13565" width="23.28515625" style="23" customWidth="1"/>
    <col min="13566" max="13566" width="21.42578125" style="23" customWidth="1"/>
    <col min="13567" max="13567" width="12.5703125" style="23" customWidth="1"/>
    <col min="13568" max="13568" width="14.7109375" style="23" customWidth="1"/>
    <col min="13569" max="13569" width="16.28515625" style="23" customWidth="1"/>
    <col min="13570" max="13570" width="30.85546875" style="23" customWidth="1"/>
    <col min="13571" max="13574" width="4" style="23" customWidth="1"/>
    <col min="13575" max="13820" width="11.5703125" style="23"/>
    <col min="13821" max="13821" width="23.28515625" style="23" customWidth="1"/>
    <col min="13822" max="13822" width="21.42578125" style="23" customWidth="1"/>
    <col min="13823" max="13823" width="12.5703125" style="23" customWidth="1"/>
    <col min="13824" max="13824" width="14.7109375" style="23" customWidth="1"/>
    <col min="13825" max="13825" width="16.28515625" style="23" customWidth="1"/>
    <col min="13826" max="13826" width="30.85546875" style="23" customWidth="1"/>
    <col min="13827" max="13830" width="4" style="23" customWidth="1"/>
    <col min="13831" max="14076" width="11.5703125" style="23"/>
    <col min="14077" max="14077" width="23.28515625" style="23" customWidth="1"/>
    <col min="14078" max="14078" width="21.42578125" style="23" customWidth="1"/>
    <col min="14079" max="14079" width="12.5703125" style="23" customWidth="1"/>
    <col min="14080" max="14080" width="14.7109375" style="23" customWidth="1"/>
    <col min="14081" max="14081" width="16.28515625" style="23" customWidth="1"/>
    <col min="14082" max="14082" width="30.85546875" style="23" customWidth="1"/>
    <col min="14083" max="14086" width="4" style="23" customWidth="1"/>
    <col min="14087" max="14332" width="11.5703125" style="23"/>
    <col min="14333" max="14333" width="23.28515625" style="23" customWidth="1"/>
    <col min="14334" max="14334" width="21.42578125" style="23" customWidth="1"/>
    <col min="14335" max="14335" width="12.5703125" style="23" customWidth="1"/>
    <col min="14336" max="14336" width="14.7109375" style="23" customWidth="1"/>
    <col min="14337" max="14337" width="16.28515625" style="23" customWidth="1"/>
    <col min="14338" max="14338" width="30.85546875" style="23" customWidth="1"/>
    <col min="14339" max="14342" width="4" style="23" customWidth="1"/>
    <col min="14343" max="14588" width="11.5703125" style="23"/>
    <col min="14589" max="14589" width="23.28515625" style="23" customWidth="1"/>
    <col min="14590" max="14590" width="21.42578125" style="23" customWidth="1"/>
    <col min="14591" max="14591" width="12.5703125" style="23" customWidth="1"/>
    <col min="14592" max="14592" width="14.7109375" style="23" customWidth="1"/>
    <col min="14593" max="14593" width="16.28515625" style="23" customWidth="1"/>
    <col min="14594" max="14594" width="30.85546875" style="23" customWidth="1"/>
    <col min="14595" max="14598" width="4" style="23" customWidth="1"/>
    <col min="14599" max="14844" width="11.5703125" style="23"/>
    <col min="14845" max="14845" width="23.28515625" style="23" customWidth="1"/>
    <col min="14846" max="14846" width="21.42578125" style="23" customWidth="1"/>
    <col min="14847" max="14847" width="12.5703125" style="23" customWidth="1"/>
    <col min="14848" max="14848" width="14.7109375" style="23" customWidth="1"/>
    <col min="14849" max="14849" width="16.28515625" style="23" customWidth="1"/>
    <col min="14850" max="14850" width="30.85546875" style="23" customWidth="1"/>
    <col min="14851" max="14854" width="4" style="23" customWidth="1"/>
    <col min="14855" max="15100" width="11.5703125" style="23"/>
    <col min="15101" max="15101" width="23.28515625" style="23" customWidth="1"/>
    <col min="15102" max="15102" width="21.42578125" style="23" customWidth="1"/>
    <col min="15103" max="15103" width="12.5703125" style="23" customWidth="1"/>
    <col min="15104" max="15104" width="14.7109375" style="23" customWidth="1"/>
    <col min="15105" max="15105" width="16.28515625" style="23" customWidth="1"/>
    <col min="15106" max="15106" width="30.85546875" style="23" customWidth="1"/>
    <col min="15107" max="15110" width="4" style="23" customWidth="1"/>
    <col min="15111" max="15356" width="11.5703125" style="23"/>
    <col min="15357" max="15357" width="23.28515625" style="23" customWidth="1"/>
    <col min="15358" max="15358" width="21.42578125" style="23" customWidth="1"/>
    <col min="15359" max="15359" width="12.5703125" style="23" customWidth="1"/>
    <col min="15360" max="15360" width="14.7109375" style="23" customWidth="1"/>
    <col min="15361" max="15361" width="16.28515625" style="23" customWidth="1"/>
    <col min="15362" max="15362" width="30.85546875" style="23" customWidth="1"/>
    <col min="15363" max="15366" width="4" style="23" customWidth="1"/>
    <col min="15367" max="15612" width="11.5703125" style="23"/>
    <col min="15613" max="15613" width="23.28515625" style="23" customWidth="1"/>
    <col min="15614" max="15614" width="21.42578125" style="23" customWidth="1"/>
    <col min="15615" max="15615" width="12.5703125" style="23" customWidth="1"/>
    <col min="15616" max="15616" width="14.7109375" style="23" customWidth="1"/>
    <col min="15617" max="15617" width="16.28515625" style="23" customWidth="1"/>
    <col min="15618" max="15618" width="30.85546875" style="23" customWidth="1"/>
    <col min="15619" max="15622" width="4" style="23" customWidth="1"/>
    <col min="15623" max="15868" width="11.5703125" style="23"/>
    <col min="15869" max="15869" width="23.28515625" style="23" customWidth="1"/>
    <col min="15870" max="15870" width="21.42578125" style="23" customWidth="1"/>
    <col min="15871" max="15871" width="12.5703125" style="23" customWidth="1"/>
    <col min="15872" max="15872" width="14.7109375" style="23" customWidth="1"/>
    <col min="15873" max="15873" width="16.28515625" style="23" customWidth="1"/>
    <col min="15874" max="15874" width="30.85546875" style="23" customWidth="1"/>
    <col min="15875" max="15878" width="4" style="23" customWidth="1"/>
    <col min="15879" max="16124" width="11.5703125" style="23"/>
    <col min="16125" max="16125" width="23.28515625" style="23" customWidth="1"/>
    <col min="16126" max="16126" width="21.42578125" style="23" customWidth="1"/>
    <col min="16127" max="16127" width="12.5703125" style="23" customWidth="1"/>
    <col min="16128" max="16128" width="14.7109375" style="23" customWidth="1"/>
    <col min="16129" max="16129" width="16.28515625" style="23" customWidth="1"/>
    <col min="16130" max="16130" width="30.85546875" style="23" customWidth="1"/>
    <col min="16131" max="16134" width="4" style="23" customWidth="1"/>
    <col min="16135" max="16384" width="11.5703125" style="23"/>
  </cols>
  <sheetData>
    <row r="1" spans="1:11" ht="24.75" customHeight="1" x14ac:dyDescent="0.25">
      <c r="A1" s="199" t="s">
        <v>58</v>
      </c>
      <c r="B1" s="199"/>
      <c r="C1" s="199"/>
      <c r="D1" s="199"/>
      <c r="E1" s="199"/>
    </row>
    <row r="2" spans="1:11" ht="21" customHeight="1" thickBot="1" x14ac:dyDescent="0.3">
      <c r="A2" s="57" t="s">
        <v>64</v>
      </c>
      <c r="B2" s="57"/>
      <c r="C2" s="57"/>
      <c r="D2" s="57"/>
      <c r="E2" s="57"/>
      <c r="F2" s="24"/>
      <c r="G2" s="24"/>
    </row>
    <row r="3" spans="1:11" ht="45.75" customHeight="1" thickTop="1" x14ac:dyDescent="0.25">
      <c r="A3" s="204" t="s">
        <v>42</v>
      </c>
      <c r="B3" s="204"/>
      <c r="C3" s="65" t="s">
        <v>40</v>
      </c>
      <c r="D3" s="71" t="s">
        <v>74</v>
      </c>
      <c r="E3" s="65" t="s">
        <v>41</v>
      </c>
    </row>
    <row r="4" spans="1:11" ht="34.5" customHeight="1" x14ac:dyDescent="0.25">
      <c r="A4" s="205" t="s">
        <v>102</v>
      </c>
      <c r="B4" s="205"/>
      <c r="C4" s="29">
        <v>17</v>
      </c>
      <c r="D4" s="32">
        <v>100</v>
      </c>
      <c r="E4" s="167" t="s">
        <v>95</v>
      </c>
    </row>
    <row r="5" spans="1:11" ht="33.75" customHeight="1" x14ac:dyDescent="0.25">
      <c r="A5" s="207" t="s">
        <v>65</v>
      </c>
      <c r="B5" s="207"/>
      <c r="C5" s="30">
        <v>16</v>
      </c>
      <c r="D5" s="31">
        <f>F5/F7*100</f>
        <v>94.117647058823522</v>
      </c>
      <c r="E5" s="166" t="s">
        <v>96</v>
      </c>
      <c r="F5" s="169">
        <v>16</v>
      </c>
      <c r="G5" s="67" t="s">
        <v>48</v>
      </c>
    </row>
    <row r="6" spans="1:11" ht="35.25" customHeight="1" x14ac:dyDescent="0.25">
      <c r="A6" s="207" t="s">
        <v>66</v>
      </c>
      <c r="B6" s="207"/>
      <c r="C6" s="30">
        <v>16</v>
      </c>
      <c r="D6" s="31">
        <v>94.117647058823522</v>
      </c>
      <c r="E6" s="166" t="s">
        <v>96</v>
      </c>
      <c r="F6" s="50">
        <v>1</v>
      </c>
      <c r="G6" s="67" t="s">
        <v>47</v>
      </c>
    </row>
    <row r="7" spans="1:11" ht="30" customHeight="1" x14ac:dyDescent="0.25">
      <c r="A7" s="207" t="s">
        <v>67</v>
      </c>
      <c r="B7" s="207"/>
      <c r="C7" s="30">
        <v>16</v>
      </c>
      <c r="D7" s="31">
        <v>94.117647058823522</v>
      </c>
      <c r="E7" s="166" t="s">
        <v>96</v>
      </c>
      <c r="F7" s="169">
        <v>17</v>
      </c>
      <c r="G7" s="67" t="s">
        <v>17</v>
      </c>
    </row>
    <row r="8" spans="1:11" ht="36" customHeight="1" x14ac:dyDescent="0.25">
      <c r="A8" s="207" t="s">
        <v>68</v>
      </c>
      <c r="B8" s="207"/>
      <c r="C8" s="30">
        <v>17</v>
      </c>
      <c r="D8" s="31">
        <v>100</v>
      </c>
      <c r="E8" s="25" t="s">
        <v>95</v>
      </c>
    </row>
    <row r="9" spans="1:11" ht="54.75" customHeight="1" x14ac:dyDescent="0.25">
      <c r="A9" s="207" t="s">
        <v>110</v>
      </c>
      <c r="B9" s="207"/>
      <c r="C9" s="30">
        <v>1</v>
      </c>
      <c r="D9" s="31">
        <f>F6/F7*100</f>
        <v>5.8823529411764701</v>
      </c>
      <c r="E9" s="105" t="s">
        <v>47</v>
      </c>
    </row>
    <row r="10" spans="1:11" ht="32.25" customHeight="1" x14ac:dyDescent="0.25">
      <c r="A10" s="207" t="s">
        <v>111</v>
      </c>
      <c r="B10" s="207"/>
      <c r="C10" s="30">
        <v>1</v>
      </c>
      <c r="D10" s="31">
        <f>F6/F7*100</f>
        <v>5.8823529411764701</v>
      </c>
      <c r="E10" s="105" t="s">
        <v>47</v>
      </c>
    </row>
    <row r="11" spans="1:11" ht="38.25" customHeight="1" x14ac:dyDescent="0.25">
      <c r="A11" s="208" t="s">
        <v>112</v>
      </c>
      <c r="B11" s="208"/>
      <c r="C11" s="30">
        <v>1</v>
      </c>
      <c r="D11" s="31">
        <f>F6/F7*100</f>
        <v>5.8823529411764701</v>
      </c>
      <c r="E11" s="105" t="s">
        <v>47</v>
      </c>
    </row>
    <row r="12" spans="1:11" ht="26.25" customHeight="1" x14ac:dyDescent="0.25">
      <c r="A12" s="210" t="s">
        <v>113</v>
      </c>
      <c r="B12" s="210"/>
      <c r="C12" s="49">
        <v>1</v>
      </c>
      <c r="D12" s="46">
        <f>F6/F7*100</f>
        <v>5.8823529411764701</v>
      </c>
      <c r="E12" s="105" t="s">
        <v>47</v>
      </c>
    </row>
    <row r="13" spans="1:11" ht="25.5" customHeight="1" x14ac:dyDescent="0.25">
      <c r="A13" s="210" t="s">
        <v>114</v>
      </c>
      <c r="B13" s="210"/>
      <c r="C13" s="30">
        <v>1</v>
      </c>
      <c r="D13" s="31">
        <v>5.9</v>
      </c>
      <c r="E13" s="171" t="s">
        <v>47</v>
      </c>
    </row>
    <row r="14" spans="1:11" ht="34.5" customHeight="1" thickBot="1" x14ac:dyDescent="0.3">
      <c r="A14" s="206" t="s">
        <v>103</v>
      </c>
      <c r="B14" s="206"/>
      <c r="C14" s="33">
        <v>1</v>
      </c>
      <c r="D14" s="34">
        <v>5.9</v>
      </c>
      <c r="E14" s="170" t="s">
        <v>47</v>
      </c>
    </row>
    <row r="15" spans="1:11" ht="20.25" customHeight="1" thickTop="1" x14ac:dyDescent="0.25">
      <c r="A15" s="25"/>
      <c r="B15" s="25"/>
      <c r="C15" s="69"/>
      <c r="D15" s="70"/>
      <c r="E15" s="172" t="s">
        <v>104</v>
      </c>
      <c r="F15" s="198"/>
      <c r="G15" s="198"/>
      <c r="H15" s="198"/>
      <c r="I15" s="198"/>
      <c r="J15" s="198"/>
      <c r="K15" s="198"/>
    </row>
    <row r="16" spans="1:11" ht="18" customHeight="1" x14ac:dyDescent="0.25">
      <c r="A16" s="198" t="s">
        <v>21</v>
      </c>
      <c r="B16" s="198"/>
      <c r="C16" s="198"/>
      <c r="D16" s="198"/>
      <c r="E16" s="198"/>
    </row>
    <row r="17" spans="1:5" ht="15" customHeight="1" x14ac:dyDescent="0.25">
      <c r="A17" s="203" t="s">
        <v>19</v>
      </c>
      <c r="B17" s="203"/>
      <c r="C17" s="203"/>
      <c r="D17" s="203"/>
      <c r="E17" s="203"/>
    </row>
    <row r="18" spans="1:5" ht="1.5" customHeight="1" x14ac:dyDescent="0.25">
      <c r="A18" s="68"/>
      <c r="B18" s="68"/>
      <c r="C18" s="68"/>
      <c r="D18" s="68"/>
      <c r="E18" s="68"/>
    </row>
    <row r="19" spans="1:5" ht="21.75" customHeight="1" x14ac:dyDescent="0.25">
      <c r="A19" s="183" t="s">
        <v>55</v>
      </c>
      <c r="B19" s="183"/>
      <c r="C19" s="192">
        <v>88</v>
      </c>
      <c r="D19" s="192"/>
      <c r="E19" s="192"/>
    </row>
    <row r="20" spans="1:5" ht="28.5" customHeight="1" x14ac:dyDescent="0.25">
      <c r="A20" s="199" t="s">
        <v>58</v>
      </c>
      <c r="B20" s="199"/>
      <c r="C20" s="199"/>
      <c r="D20" s="199"/>
      <c r="E20" s="199"/>
    </row>
    <row r="21" spans="1:5" ht="21" customHeight="1" thickBot="1" x14ac:dyDescent="0.3">
      <c r="A21" s="72" t="s">
        <v>69</v>
      </c>
    </row>
    <row r="22" spans="1:5" ht="44.25" customHeight="1" thickTop="1" x14ac:dyDescent="0.25">
      <c r="A22" s="209" t="s">
        <v>42</v>
      </c>
      <c r="B22" s="209"/>
      <c r="C22" s="71" t="s">
        <v>40</v>
      </c>
      <c r="D22" s="71" t="s">
        <v>74</v>
      </c>
      <c r="E22" s="71" t="s">
        <v>41</v>
      </c>
    </row>
    <row r="23" spans="1:5" ht="45" customHeight="1" x14ac:dyDescent="0.25">
      <c r="A23" s="207" t="s">
        <v>115</v>
      </c>
      <c r="B23" s="207"/>
      <c r="C23" s="30">
        <v>1</v>
      </c>
      <c r="D23" s="31">
        <v>5.9</v>
      </c>
      <c r="E23" s="105" t="s">
        <v>47</v>
      </c>
    </row>
    <row r="24" spans="1:5" ht="37.5" customHeight="1" x14ac:dyDescent="0.25">
      <c r="A24" s="207" t="s">
        <v>70</v>
      </c>
      <c r="B24" s="207"/>
      <c r="C24" s="30">
        <v>1</v>
      </c>
      <c r="D24" s="31">
        <v>5.9</v>
      </c>
      <c r="E24" s="166" t="s">
        <v>47</v>
      </c>
    </row>
    <row r="25" spans="1:5" ht="37.5" customHeight="1" x14ac:dyDescent="0.25">
      <c r="A25" s="207" t="s">
        <v>116</v>
      </c>
      <c r="B25" s="207"/>
      <c r="C25" s="30">
        <v>16</v>
      </c>
      <c r="D25" s="31">
        <v>94.117647058823522</v>
      </c>
      <c r="E25" s="166" t="s">
        <v>96</v>
      </c>
    </row>
    <row r="26" spans="1:5" ht="45" customHeight="1" thickBot="1" x14ac:dyDescent="0.3">
      <c r="A26" s="206" t="s">
        <v>117</v>
      </c>
      <c r="B26" s="206"/>
      <c r="C26" s="33">
        <v>16</v>
      </c>
      <c r="D26" s="34">
        <v>94.117647058823522</v>
      </c>
      <c r="E26" s="165" t="s">
        <v>96</v>
      </c>
    </row>
    <row r="27" spans="1:5" ht="20.25" customHeight="1" thickTop="1" x14ac:dyDescent="0.25">
      <c r="A27" s="25"/>
      <c r="B27" s="25"/>
      <c r="C27" s="26"/>
      <c r="D27" s="26"/>
      <c r="E27" s="25"/>
    </row>
    <row r="28" spans="1:5" x14ac:dyDescent="0.25">
      <c r="A28" s="198" t="s">
        <v>21</v>
      </c>
      <c r="B28" s="198"/>
      <c r="C28" s="198"/>
      <c r="D28" s="198"/>
      <c r="E28" s="198"/>
    </row>
    <row r="29" spans="1:5" x14ac:dyDescent="0.25">
      <c r="A29" s="203" t="s">
        <v>19</v>
      </c>
      <c r="B29" s="203"/>
      <c r="C29" s="203"/>
      <c r="D29" s="203"/>
      <c r="E29" s="203"/>
    </row>
    <row r="30" spans="1:5" ht="106.5" customHeight="1" x14ac:dyDescent="0.25">
      <c r="A30" s="68"/>
      <c r="B30" s="68"/>
      <c r="C30" s="68"/>
      <c r="D30" s="68"/>
      <c r="E30" s="68"/>
    </row>
    <row r="31" spans="1:5" ht="84" customHeight="1" x14ac:dyDescent="0.25">
      <c r="A31" s="68"/>
      <c r="B31" s="68"/>
      <c r="C31" s="68"/>
      <c r="D31" s="68"/>
      <c r="E31" s="68"/>
    </row>
    <row r="32" spans="1:5" ht="30.75" customHeight="1" x14ac:dyDescent="0.2">
      <c r="A32" s="27"/>
      <c r="B32" s="27"/>
      <c r="C32" s="28"/>
      <c r="D32" s="28"/>
      <c r="E32" s="27"/>
    </row>
    <row r="33" spans="1:5" ht="22.5" customHeight="1" x14ac:dyDescent="0.25">
      <c r="A33" s="183" t="s">
        <v>55</v>
      </c>
      <c r="B33" s="183"/>
      <c r="C33" s="192">
        <v>89</v>
      </c>
      <c r="D33" s="192"/>
      <c r="E33" s="192"/>
    </row>
  </sheetData>
  <mergeCells count="28">
    <mergeCell ref="F15:K15"/>
    <mergeCell ref="A12:B12"/>
    <mergeCell ref="A13:B13"/>
    <mergeCell ref="A33:B33"/>
    <mergeCell ref="A28:E28"/>
    <mergeCell ref="C33:E33"/>
    <mergeCell ref="A29:E29"/>
    <mergeCell ref="A23:B23"/>
    <mergeCell ref="A24:B24"/>
    <mergeCell ref="A19:B19"/>
    <mergeCell ref="C19:E19"/>
    <mergeCell ref="A20:E20"/>
    <mergeCell ref="A25:B25"/>
    <mergeCell ref="A14:B14"/>
    <mergeCell ref="A1:E1"/>
    <mergeCell ref="A3:B3"/>
    <mergeCell ref="A4:B4"/>
    <mergeCell ref="A26:B26"/>
    <mergeCell ref="A6:B6"/>
    <mergeCell ref="A7:B7"/>
    <mergeCell ref="A8:B8"/>
    <mergeCell ref="A9:B9"/>
    <mergeCell ref="A5:B5"/>
    <mergeCell ref="A10:B10"/>
    <mergeCell ref="A11:B11"/>
    <mergeCell ref="A22:B22"/>
    <mergeCell ref="A16:E16"/>
    <mergeCell ref="A17:E17"/>
  </mergeCells>
  <printOptions horizontalCentered="1"/>
  <pageMargins left="0.70866141732283472" right="0.70866141732283472" top="0.51181102362204722" bottom="0.2362204724409449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6</vt:i4>
      </vt:variant>
      <vt:variant>
        <vt:lpstr>نطاقات تمت تسميتها</vt:lpstr>
      </vt:variant>
      <vt:variant>
        <vt:i4>6</vt:i4>
      </vt:variant>
    </vt:vector>
  </HeadingPairs>
  <TitlesOfParts>
    <vt:vector size="12" baseType="lpstr">
      <vt:lpstr>1</vt:lpstr>
      <vt:lpstr>2</vt:lpstr>
      <vt:lpstr>3</vt:lpstr>
      <vt:lpstr>4</vt:lpstr>
      <vt:lpstr>5</vt:lpstr>
      <vt:lpstr>6</vt:lpstr>
      <vt:lpstr>'1'!Print_Area</vt:lpstr>
      <vt:lpstr>'2'!Print_Area</vt:lpstr>
      <vt:lpstr>'3'!Print_Area</vt:lpstr>
      <vt:lpstr>'4'!Print_Area</vt:lpstr>
      <vt:lpstr>'5'!Print_Area</vt:lpstr>
      <vt:lpstr>'6'!Print_Area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Laheeb Jalil</cp:lastModifiedBy>
  <cp:lastPrinted>2016-11-22T08:27:13Z</cp:lastPrinted>
  <dcterms:created xsi:type="dcterms:W3CDTF">2012-02-17T04:49:09Z</dcterms:created>
  <dcterms:modified xsi:type="dcterms:W3CDTF">2016-11-22T08:27:57Z</dcterms:modified>
</cp:coreProperties>
</file>